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uitslagen" sheetId="1" r:id="rId1"/>
    <sheet name="basismetingen" sheetId="2" r:id="rId2"/>
  </sheets>
  <definedNames/>
  <calcPr fullCalcOnLoad="1"/>
</workbook>
</file>

<file path=xl/sharedStrings.xml><?xml version="1.0" encoding="utf-8"?>
<sst xmlns="http://schemas.openxmlformats.org/spreadsheetml/2006/main" count="177" uniqueCount="71">
  <si>
    <t>Race</t>
  </si>
  <si>
    <t>start</t>
  </si>
  <si>
    <t>finish</t>
  </si>
  <si>
    <t>750m</t>
  </si>
  <si>
    <t>eindtijd</t>
  </si>
  <si>
    <t>Race 1/4</t>
  </si>
  <si>
    <t>SB</t>
  </si>
  <si>
    <t>Arnoud</t>
  </si>
  <si>
    <t>Paul</t>
  </si>
  <si>
    <t>Ivo</t>
  </si>
  <si>
    <t>Marshall</t>
  </si>
  <si>
    <t>4,7,10,13</t>
  </si>
  <si>
    <t>2,5,12,15</t>
  </si>
  <si>
    <t>1,6,11,16</t>
  </si>
  <si>
    <t>3,8,9,14</t>
  </si>
  <si>
    <t>BB</t>
  </si>
  <si>
    <t>Gerard</t>
  </si>
  <si>
    <t>Roeland</t>
  </si>
  <si>
    <t>Wolter</t>
  </si>
  <si>
    <t>Alwin</t>
  </si>
  <si>
    <t>3,6,12,13</t>
  </si>
  <si>
    <t>1,8,10,15</t>
  </si>
  <si>
    <t>4,5,9,16</t>
  </si>
  <si>
    <t>2,7,11,14</t>
  </si>
  <si>
    <t>Race 17/20</t>
  </si>
  <si>
    <t>Race 21/24</t>
  </si>
  <si>
    <t>Race 25/28</t>
  </si>
  <si>
    <t>Race 29/32</t>
  </si>
  <si>
    <t>Race 5/8</t>
  </si>
  <si>
    <t>Race 9/12</t>
  </si>
  <si>
    <t>Race 13/16</t>
  </si>
  <si>
    <t>tot. tijd</t>
  </si>
  <si>
    <t>abs.%</t>
  </si>
  <si>
    <t>gem. time</t>
  </si>
  <si>
    <t>gem. tijd dag 1</t>
  </si>
  <si>
    <t>gem. tijd dag 2</t>
  </si>
  <si>
    <t>gem. tijd totaal</t>
  </si>
  <si>
    <t>races</t>
  </si>
  <si>
    <t xml:space="preserve">races </t>
  </si>
  <si>
    <t>Totaal</t>
  </si>
  <si>
    <t>Dag1</t>
  </si>
  <si>
    <t>Dag 2</t>
  </si>
  <si>
    <t>BB Slag</t>
  </si>
  <si>
    <t>SB Slag</t>
  </si>
  <si>
    <t>gem. diff. per dag</t>
  </si>
  <si>
    <r>
      <t xml:space="preserve">                                   </t>
    </r>
    <r>
      <rPr>
        <b/>
        <sz val="16"/>
        <color indexed="9"/>
        <rFont val="Arial"/>
        <family val="2"/>
      </rPr>
      <t xml:space="preserve"> resultaat</t>
    </r>
  </si>
  <si>
    <t xml:space="preserve">  Pairs Matrix KNRB LM4-         Sevilla 19 &amp; 20 januari 2007</t>
  </si>
  <si>
    <t>BB/SB slag</t>
  </si>
  <si>
    <t>17,21,26,30</t>
  </si>
  <si>
    <t>18,23,25,32</t>
  </si>
  <si>
    <t>20,24,27,31</t>
  </si>
  <si>
    <t>19,22,28,29</t>
  </si>
  <si>
    <t>18,21,28,31</t>
  </si>
  <si>
    <t>20,23,26,29</t>
  </si>
  <si>
    <t>19,24,25,30</t>
  </si>
  <si>
    <t>17,22,27,32</t>
  </si>
  <si>
    <t>abs.diff. tov dag</t>
  </si>
  <si>
    <t>ploeg</t>
  </si>
  <si>
    <t>race</t>
  </si>
  <si>
    <t>1500m</t>
  </si>
  <si>
    <t>(tussen)tijden</t>
  </si>
  <si>
    <t>x</t>
  </si>
  <si>
    <r>
      <t>t</t>
    </r>
    <r>
      <rPr>
        <b/>
        <vertAlign val="subscript"/>
        <sz val="10"/>
        <rFont val="Arial"/>
        <family val="2"/>
      </rPr>
      <t>gem</t>
    </r>
  </si>
  <si>
    <r>
      <t>d</t>
    </r>
    <r>
      <rPr>
        <b/>
        <vertAlign val="subscript"/>
        <sz val="10"/>
        <rFont val="Arial"/>
        <family val="2"/>
      </rPr>
      <t>abs</t>
    </r>
  </si>
  <si>
    <t>dag</t>
  </si>
  <si>
    <t>Dag 1</t>
  </si>
  <si>
    <t>Stuurboord</t>
  </si>
  <si>
    <t>Bakboord</t>
  </si>
  <si>
    <r>
      <rPr>
        <b/>
        <sz val="10"/>
        <rFont val="Arial"/>
        <family val="2"/>
      </rPr>
      <t>RES</t>
    </r>
    <r>
      <rPr>
        <b/>
        <vertAlign val="subscript"/>
        <sz val="10"/>
        <rFont val="Arial"/>
        <family val="2"/>
      </rPr>
      <t>rel</t>
    </r>
  </si>
  <si>
    <t>stuurboordslag</t>
  </si>
  <si>
    <t>bakboordslag</t>
  </si>
</sst>
</file>

<file path=xl/styles.xml><?xml version="1.0" encoding="utf-8"?>
<styleSheet xmlns="http://schemas.openxmlformats.org/spreadsheetml/2006/main">
  <numFmts count="5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h]:mm:ss;@"/>
    <numFmt numFmtId="173" formatCode="[$-413]dddd\ d\ mmmm\ yyyy"/>
    <numFmt numFmtId="174" formatCode="[$-F400]h:mm:ss\ AM/PM"/>
    <numFmt numFmtId="175" formatCode="mm:ss.0;@"/>
    <numFmt numFmtId="176" formatCode="h:mm:ss;@"/>
    <numFmt numFmtId="177" formatCode="0#\-#######"/>
    <numFmt numFmtId="178" formatCode="0.0000"/>
    <numFmt numFmtId="179" formatCode="0.000"/>
    <numFmt numFmtId="180" formatCode="0.0"/>
    <numFmt numFmtId="181" formatCode="0.00000"/>
    <numFmt numFmtId="182" formatCode="0.000000"/>
    <numFmt numFmtId="183" formatCode="[$-409]h:mm:ss\ AM/PM;@"/>
    <numFmt numFmtId="184" formatCode="s.0;@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0.0000000000000000"/>
    <numFmt numFmtId="193" formatCode="0.00000000000000000"/>
    <numFmt numFmtId="194" formatCode="0.000000000000000000"/>
    <numFmt numFmtId="195" formatCode="0.0000000000000000000"/>
    <numFmt numFmtId="196" formatCode="0.00000000000000000000"/>
    <numFmt numFmtId="197" formatCode="0.000000000000000000000"/>
    <numFmt numFmtId="198" formatCode="0.0000000000000000000000"/>
    <numFmt numFmtId="199" formatCode="0.00000000000000000000000"/>
    <numFmt numFmtId="200" formatCode="0.000000000000000000000000"/>
    <numFmt numFmtId="201" formatCode="0.0000000000000000000000000"/>
    <numFmt numFmtId="202" formatCode="0.00000000000000000000000000"/>
    <numFmt numFmtId="203" formatCode="0.0;[Blue]0.0"/>
    <numFmt numFmtId="204" formatCode="[Red]0.0;[Blue]0.0"/>
    <numFmt numFmtId="205" formatCode="0.0%"/>
  </numFmts>
  <fonts count="4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17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0" fontId="0" fillId="0" borderId="0" xfId="0" applyNumberFormat="1" applyBorder="1" applyAlignment="1">
      <alignment/>
    </xf>
    <xf numFmtId="175" fontId="0" fillId="3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47" fontId="0" fillId="0" borderId="0" xfId="0" applyNumberFormat="1" applyBorder="1" applyAlignment="1">
      <alignment/>
    </xf>
    <xf numFmtId="175" fontId="0" fillId="0" borderId="0" xfId="0" applyNumberFormat="1" applyBorder="1" applyAlignment="1">
      <alignment horizontal="center"/>
    </xf>
    <xf numFmtId="175" fontId="0" fillId="0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0" fontId="0" fillId="33" borderId="0" xfId="0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93" fontId="0" fillId="0" borderId="0" xfId="0" applyNumberFormat="1" applyAlignment="1">
      <alignment/>
    </xf>
    <xf numFmtId="202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6" fillId="34" borderId="16" xfId="0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175" fontId="0" fillId="34" borderId="17" xfId="0" applyNumberFormat="1" applyFill="1" applyBorder="1" applyAlignment="1">
      <alignment horizontal="center"/>
    </xf>
    <xf numFmtId="175" fontId="0" fillId="34" borderId="0" xfId="0" applyNumberFormat="1" applyFill="1" applyBorder="1" applyAlignment="1">
      <alignment horizontal="center"/>
    </xf>
    <xf numFmtId="175" fontId="0" fillId="34" borderId="17" xfId="0" applyNumberFormat="1" applyFill="1" applyBorder="1" applyAlignment="1">
      <alignment/>
    </xf>
    <xf numFmtId="204" fontId="0" fillId="34" borderId="17" xfId="0" applyNumberFormat="1" applyFill="1" applyBorder="1" applyAlignment="1">
      <alignment/>
    </xf>
    <xf numFmtId="10" fontId="0" fillId="34" borderId="18" xfId="57" applyNumberFormat="1" applyFont="1" applyFill="1" applyBorder="1" applyAlignment="1">
      <alignment/>
    </xf>
    <xf numFmtId="175" fontId="0" fillId="34" borderId="17" xfId="0" applyNumberFormat="1" applyFont="1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175" fontId="0" fillId="34" borderId="19" xfId="0" applyNumberFormat="1" applyFill="1" applyBorder="1" applyAlignment="1">
      <alignment horizontal="center"/>
    </xf>
    <xf numFmtId="175" fontId="0" fillId="34" borderId="20" xfId="0" applyNumberFormat="1" applyFill="1" applyBorder="1" applyAlignment="1">
      <alignment horizontal="center"/>
    </xf>
    <xf numFmtId="175" fontId="0" fillId="34" borderId="19" xfId="0" applyNumberFormat="1" applyFill="1" applyBorder="1" applyAlignment="1">
      <alignment/>
    </xf>
    <xf numFmtId="204" fontId="0" fillId="34" borderId="19" xfId="0" applyNumberFormat="1" applyFill="1" applyBorder="1" applyAlignment="1">
      <alignment/>
    </xf>
    <xf numFmtId="10" fontId="0" fillId="34" borderId="21" xfId="57" applyNumberFormat="1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175" fontId="0" fillId="34" borderId="22" xfId="0" applyNumberFormat="1" applyFill="1" applyBorder="1" applyAlignment="1">
      <alignment horizontal="center"/>
    </xf>
    <xf numFmtId="175" fontId="0" fillId="34" borderId="23" xfId="0" applyNumberFormat="1" applyFill="1" applyBorder="1" applyAlignment="1">
      <alignment horizontal="center"/>
    </xf>
    <xf numFmtId="175" fontId="0" fillId="34" borderId="22" xfId="0" applyNumberFormat="1" applyFill="1" applyBorder="1" applyAlignment="1">
      <alignment/>
    </xf>
    <xf numFmtId="204" fontId="0" fillId="34" borderId="22" xfId="0" applyNumberFormat="1" applyFill="1" applyBorder="1" applyAlignment="1">
      <alignment/>
    </xf>
    <xf numFmtId="10" fontId="0" fillId="34" borderId="24" xfId="57" applyNumberFormat="1" applyFont="1" applyFill="1" applyBorder="1" applyAlignment="1">
      <alignment/>
    </xf>
    <xf numFmtId="175" fontId="0" fillId="34" borderId="19" xfId="0" applyNumberFormat="1" applyFont="1" applyFill="1" applyBorder="1" applyAlignment="1">
      <alignment horizontal="center"/>
    </xf>
    <xf numFmtId="175" fontId="0" fillId="34" borderId="22" xfId="0" applyNumberFormat="1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204" fontId="0" fillId="34" borderId="0" xfId="0" applyNumberFormat="1" applyFill="1" applyBorder="1" applyAlignment="1">
      <alignment/>
    </xf>
    <xf numFmtId="10" fontId="0" fillId="34" borderId="25" xfId="57" applyNumberFormat="1" applyFont="1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34" borderId="14" xfId="0" applyFill="1" applyBorder="1" applyAlignment="1">
      <alignment/>
    </xf>
    <xf numFmtId="175" fontId="0" fillId="34" borderId="14" xfId="0" applyNumberFormat="1" applyFill="1" applyBorder="1" applyAlignment="1">
      <alignment horizontal="center"/>
    </xf>
    <xf numFmtId="204" fontId="0" fillId="34" borderId="14" xfId="0" applyNumberFormat="1" applyFill="1" applyBorder="1" applyAlignment="1">
      <alignment/>
    </xf>
    <xf numFmtId="10" fontId="0" fillId="34" borderId="26" xfId="57" applyNumberFormat="1" applyFont="1" applyFill="1" applyBorder="1" applyAlignment="1">
      <alignment/>
    </xf>
    <xf numFmtId="0" fontId="0" fillId="34" borderId="27" xfId="0" applyFill="1" applyBorder="1" applyAlignment="1">
      <alignment horizontal="center"/>
    </xf>
    <xf numFmtId="0" fontId="0" fillId="34" borderId="27" xfId="0" applyFont="1" applyFill="1" applyBorder="1" applyAlignment="1">
      <alignment/>
    </xf>
    <xf numFmtId="175" fontId="0" fillId="34" borderId="27" xfId="0" applyNumberFormat="1" applyFill="1" applyBorder="1" applyAlignment="1">
      <alignment horizontal="center"/>
    </xf>
    <xf numFmtId="175" fontId="0" fillId="34" borderId="27" xfId="0" applyNumberFormat="1" applyFill="1" applyBorder="1" applyAlignment="1">
      <alignment/>
    </xf>
    <xf numFmtId="204" fontId="0" fillId="34" borderId="27" xfId="0" applyNumberFormat="1" applyFill="1" applyBorder="1" applyAlignment="1">
      <alignment/>
    </xf>
    <xf numFmtId="10" fontId="0" fillId="34" borderId="28" xfId="57" applyNumberFormat="1" applyFon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0" fillId="34" borderId="29" xfId="0" applyFont="1" applyFill="1" applyBorder="1" applyAlignment="1">
      <alignment/>
    </xf>
    <xf numFmtId="0" fontId="0" fillId="34" borderId="30" xfId="0" applyFont="1" applyFill="1" applyBorder="1" applyAlignment="1">
      <alignment/>
    </xf>
    <xf numFmtId="175" fontId="0" fillId="34" borderId="29" xfId="0" applyNumberFormat="1" applyFill="1" applyBorder="1" applyAlignment="1">
      <alignment horizontal="center"/>
    </xf>
    <xf numFmtId="175" fontId="0" fillId="34" borderId="30" xfId="0" applyNumberFormat="1" applyFill="1" applyBorder="1" applyAlignment="1">
      <alignment horizontal="center"/>
    </xf>
    <xf numFmtId="175" fontId="0" fillId="34" borderId="29" xfId="0" applyNumberFormat="1" applyFill="1" applyBorder="1" applyAlignment="1">
      <alignment/>
    </xf>
    <xf numFmtId="204" fontId="0" fillId="34" borderId="29" xfId="0" applyNumberFormat="1" applyFill="1" applyBorder="1" applyAlignment="1">
      <alignment/>
    </xf>
    <xf numFmtId="10" fontId="0" fillId="34" borderId="31" xfId="57" applyNumberFormat="1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6" fillId="34" borderId="33" xfId="0" applyFont="1" applyFill="1" applyBorder="1" applyAlignment="1">
      <alignment/>
    </xf>
    <xf numFmtId="0" fontId="6" fillId="34" borderId="34" xfId="0" applyFont="1" applyFill="1" applyBorder="1" applyAlignment="1">
      <alignment horizontal="center"/>
    </xf>
    <xf numFmtId="0" fontId="6" fillId="34" borderId="34" xfId="0" applyFont="1" applyFill="1" applyBorder="1" applyAlignment="1">
      <alignment/>
    </xf>
    <xf numFmtId="0" fontId="6" fillId="34" borderId="35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0" fontId="0" fillId="34" borderId="27" xfId="57" applyNumberFormat="1" applyFont="1" applyFill="1" applyBorder="1" applyAlignment="1">
      <alignment/>
    </xf>
    <xf numFmtId="10" fontId="0" fillId="34" borderId="0" xfId="57" applyNumberFormat="1" applyFont="1" applyFill="1" applyBorder="1" applyAlignment="1">
      <alignment/>
    </xf>
    <xf numFmtId="10" fontId="0" fillId="34" borderId="17" xfId="57" applyNumberFormat="1" applyFont="1" applyFill="1" applyBorder="1" applyAlignment="1">
      <alignment/>
    </xf>
    <xf numFmtId="10" fontId="0" fillId="34" borderId="17" xfId="0" applyNumberFormat="1" applyFill="1" applyBorder="1" applyAlignment="1">
      <alignment/>
    </xf>
    <xf numFmtId="0" fontId="0" fillId="34" borderId="36" xfId="0" applyFill="1" applyBorder="1" applyAlignment="1">
      <alignment horizontal="center"/>
    </xf>
    <xf numFmtId="10" fontId="0" fillId="34" borderId="29" xfId="57" applyNumberFormat="1" applyFont="1" applyFill="1" applyBorder="1" applyAlignment="1">
      <alignment/>
    </xf>
    <xf numFmtId="10" fontId="0" fillId="34" borderId="30" xfId="57" applyNumberFormat="1" applyFont="1" applyFill="1" applyBorder="1" applyAlignment="1">
      <alignment/>
    </xf>
    <xf numFmtId="0" fontId="0" fillId="34" borderId="29" xfId="0" applyFill="1" applyBorder="1" applyAlignment="1">
      <alignment/>
    </xf>
    <xf numFmtId="10" fontId="0" fillId="34" borderId="29" xfId="0" applyNumberFormat="1" applyFill="1" applyBorder="1" applyAlignment="1">
      <alignment/>
    </xf>
    <xf numFmtId="0" fontId="6" fillId="34" borderId="32" xfId="0" applyFont="1" applyFill="1" applyBorder="1" applyAlignment="1">
      <alignment/>
    </xf>
    <xf numFmtId="0" fontId="9" fillId="34" borderId="37" xfId="0" applyFont="1" applyFill="1" applyBorder="1" applyAlignment="1">
      <alignment horizontal="center"/>
    </xf>
    <xf numFmtId="175" fontId="0" fillId="34" borderId="38" xfId="0" applyNumberFormat="1" applyFill="1" applyBorder="1" applyAlignment="1">
      <alignment horizontal="center"/>
    </xf>
    <xf numFmtId="175" fontId="0" fillId="34" borderId="39" xfId="0" applyNumberFormat="1" applyFill="1" applyBorder="1" applyAlignment="1">
      <alignment horizontal="center"/>
    </xf>
    <xf numFmtId="175" fontId="0" fillId="34" borderId="40" xfId="0" applyNumberFormat="1" applyFill="1" applyBorder="1" applyAlignment="1">
      <alignment horizontal="center"/>
    </xf>
    <xf numFmtId="175" fontId="0" fillId="34" borderId="41" xfId="0" applyNumberFormat="1" applyFill="1" applyBorder="1" applyAlignment="1">
      <alignment horizontal="center"/>
    </xf>
    <xf numFmtId="175" fontId="0" fillId="34" borderId="42" xfId="0" applyNumberForma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44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45" xfId="0" applyFont="1" applyFill="1" applyBorder="1" applyAlignment="1">
      <alignment horizontal="center" vertical="center" textRotation="90"/>
    </xf>
    <xf numFmtId="0" fontId="6" fillId="34" borderId="46" xfId="0" applyFont="1" applyFill="1" applyBorder="1" applyAlignment="1">
      <alignment horizontal="center" vertical="center" textRotation="90"/>
    </xf>
    <xf numFmtId="0" fontId="6" fillId="34" borderId="47" xfId="0" applyFont="1" applyFill="1" applyBorder="1" applyAlignment="1">
      <alignment horizontal="center" vertical="center" textRotation="90"/>
    </xf>
    <xf numFmtId="0" fontId="6" fillId="34" borderId="48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5"/>
  <sheetViews>
    <sheetView tabSelected="1" zoomScalePageLayoutView="0" workbookViewId="0" topLeftCell="A4">
      <selection activeCell="E7" sqref="E7"/>
    </sheetView>
  </sheetViews>
  <sheetFormatPr defaultColWidth="9.140625" defaultRowHeight="12.75"/>
  <cols>
    <col min="1" max="1" width="2.57421875" style="0" customWidth="1"/>
    <col min="2" max="2" width="4.421875" style="0" bestFit="1" customWidth="1"/>
    <col min="3" max="3" width="5.00390625" style="24" bestFit="1" customWidth="1"/>
    <col min="6" max="6" width="9.140625" style="24" customWidth="1"/>
    <col min="7" max="7" width="8.28125" style="24" bestFit="1" customWidth="1"/>
    <col min="8" max="8" width="9.140625" style="24" customWidth="1"/>
    <col min="9" max="9" width="2.140625" style="24" hidden="1" customWidth="1"/>
    <col min="13" max="13" width="9.7109375" style="0" customWidth="1"/>
    <col min="14" max="14" width="2.140625" style="0" customWidth="1"/>
  </cols>
  <sheetData>
    <row r="1" ht="13.5" thickBot="1"/>
    <row r="2" spans="2:12" ht="14.25">
      <c r="B2" s="31" t="s">
        <v>64</v>
      </c>
      <c r="C2" s="32" t="s">
        <v>58</v>
      </c>
      <c r="D2" s="115" t="s">
        <v>57</v>
      </c>
      <c r="E2" s="116"/>
      <c r="F2" s="115" t="s">
        <v>60</v>
      </c>
      <c r="G2" s="116"/>
      <c r="H2" s="116"/>
      <c r="I2" s="32" t="s">
        <v>61</v>
      </c>
      <c r="J2" s="32" t="s">
        <v>62</v>
      </c>
      <c r="K2" s="33" t="s">
        <v>63</v>
      </c>
      <c r="L2" s="114" t="s">
        <v>68</v>
      </c>
    </row>
    <row r="3" spans="2:12" ht="13.5" thickBot="1">
      <c r="B3" s="34">
        <v>1</v>
      </c>
      <c r="C3" s="35"/>
      <c r="D3" s="36" t="s">
        <v>6</v>
      </c>
      <c r="E3" s="37" t="s">
        <v>15</v>
      </c>
      <c r="F3" s="36" t="s">
        <v>3</v>
      </c>
      <c r="G3" s="37" t="s">
        <v>59</v>
      </c>
      <c r="H3" s="108" t="s">
        <v>2</v>
      </c>
      <c r="I3" s="35"/>
      <c r="J3" s="38"/>
      <c r="K3" s="38"/>
      <c r="L3" s="39"/>
    </row>
    <row r="4" spans="2:13" ht="13.5" thickTop="1">
      <c r="B4" s="119" t="s">
        <v>69</v>
      </c>
      <c r="C4" s="41">
        <v>1</v>
      </c>
      <c r="D4" s="42" t="s">
        <v>9</v>
      </c>
      <c r="E4" s="43" t="s">
        <v>17</v>
      </c>
      <c r="F4" s="44">
        <f>IF(H4="","",VLOOKUP(uitslagen!C4,basismetingen!$B$5:$G$36,6,FALSE))</f>
        <v>0.0018682870370370364</v>
      </c>
      <c r="G4" s="45">
        <f>IF(H4="","",H4-F4)</f>
        <v>0.001931134259259254</v>
      </c>
      <c r="H4" s="109">
        <f>IF(I4="x","",VLOOKUP(uitslagen!C4,basismetingen!$B$5:$G$36,5,FALSE))</f>
        <v>0.0037994212962962903</v>
      </c>
      <c r="I4" s="44"/>
      <c r="J4" s="46">
        <f>IF(I4="x","",SUM(H4:H7)/COUNTBLANK(I4:I7))</f>
        <v>0.003919126157407406</v>
      </c>
      <c r="K4" s="47">
        <f>IF(J4="","",(ABS(H4)*86396.8105134926)-(ABS(J4)*86396.8105134926))</f>
        <v>-10.34211820296099</v>
      </c>
      <c r="L4" s="48">
        <f>IF(J4="","",J4/H4)</f>
        <v>1.0315060773144071</v>
      </c>
      <c r="M4" s="28"/>
    </row>
    <row r="5" spans="2:14" ht="12.75">
      <c r="B5" s="120"/>
      <c r="C5" s="41">
        <v>2</v>
      </c>
      <c r="D5" s="42" t="s">
        <v>8</v>
      </c>
      <c r="E5" s="43" t="s">
        <v>19</v>
      </c>
      <c r="F5" s="44">
        <f>IF(H5="","",VLOOKUP(uitslagen!C5,basismetingen!$B$5:$G$36,6,FALSE))</f>
        <v>0.0019450231481481506</v>
      </c>
      <c r="G5" s="45">
        <f>IF(H5="","",H5-F5)</f>
        <v>0.0019751157407407426</v>
      </c>
      <c r="H5" s="109">
        <f>IF(I5="x","",VLOOKUP(uitslagen!C5,basismetingen!$B$5:$G$36,5,FALSE))</f>
        <v>0.003920138888888893</v>
      </c>
      <c r="I5" s="49"/>
      <c r="J5" s="46">
        <f>IF(I5="x","",SUM(H4:H7)/COUNTBLANK(I4:I7))</f>
        <v>0.003919126157407406</v>
      </c>
      <c r="K5" s="47">
        <f aca="true" t="shared" si="0" ref="K5:K43">IF(J5="","",(ABS(H5)*86396.8105134926)-(ABS(J5)*86396.8105134926))</f>
        <v>0.08749676990709077</v>
      </c>
      <c r="L5" s="48">
        <f aca="true" t="shared" si="1" ref="L5:L43">IF(J5="","",J5/H5)</f>
        <v>0.999741659285502</v>
      </c>
      <c r="N5" s="26"/>
    </row>
    <row r="6" spans="2:13" ht="12.75">
      <c r="B6" s="120"/>
      <c r="C6" s="41">
        <v>3</v>
      </c>
      <c r="D6" s="42" t="s">
        <v>10</v>
      </c>
      <c r="E6" s="43" t="s">
        <v>16</v>
      </c>
      <c r="F6" s="44">
        <f>IF(H6="","",VLOOKUP(uitslagen!C6,basismetingen!$B$5:$G$36,6,FALSE))</f>
        <v>0.0019998842592592533</v>
      </c>
      <c r="G6" s="45">
        <f>IF(H6="","",H6-F6)</f>
        <v>0.0020354166666666715</v>
      </c>
      <c r="H6" s="109">
        <f>IF(I6="x","",VLOOKUP(uitslagen!C6,basismetingen!$B$5:$G$36,5,FALSE))</f>
        <v>0.004035300925925925</v>
      </c>
      <c r="I6" s="49"/>
      <c r="J6" s="46">
        <f>IF(I6="x","",SUM(H4:H7)/COUNTBLANK(I4:I7))</f>
        <v>0.003919126157407406</v>
      </c>
      <c r="K6" s="47">
        <f t="shared" si="0"/>
        <v>10.037129462143355</v>
      </c>
      <c r="L6" s="48">
        <f t="shared" si="1"/>
        <v>0.9712103829054926</v>
      </c>
      <c r="M6" s="27"/>
    </row>
    <row r="7" spans="2:12" ht="12.75">
      <c r="B7" s="120"/>
      <c r="C7" s="50">
        <v>4</v>
      </c>
      <c r="D7" s="51" t="s">
        <v>7</v>
      </c>
      <c r="E7" s="52" t="s">
        <v>18</v>
      </c>
      <c r="F7" s="53">
        <f>IF(H7="","",VLOOKUP(uitslagen!C7,basismetingen!$B$5:$G$36,6,FALSE))</f>
        <v>0.001957175925925928</v>
      </c>
      <c r="G7" s="54">
        <f>IF(H7="","",H7-F7)</f>
        <v>0.001964467592592587</v>
      </c>
      <c r="H7" s="110">
        <f>IF(I7="x","",VLOOKUP(uitslagen!C7,basismetingen!$B$5:$G$36,5,FALSE))</f>
        <v>0.003921643518518515</v>
      </c>
      <c r="I7" s="53"/>
      <c r="J7" s="55">
        <f>IF(I7="x","",SUM(H4:H7)/COUNTBLANK(I4:I7))</f>
        <v>0.003919126157407406</v>
      </c>
      <c r="K7" s="56">
        <f t="shared" si="0"/>
        <v>0.21749197091054384</v>
      </c>
      <c r="L7" s="57">
        <f t="shared" si="1"/>
        <v>0.9993580851754572</v>
      </c>
    </row>
    <row r="8" spans="2:12" ht="12.75">
      <c r="B8" s="120"/>
      <c r="C8" s="41"/>
      <c r="D8" s="58"/>
      <c r="E8" s="59"/>
      <c r="F8" s="41"/>
      <c r="G8" s="45"/>
      <c r="H8" s="109"/>
      <c r="I8" s="41"/>
      <c r="J8" s="58"/>
      <c r="K8" s="47"/>
      <c r="L8" s="48"/>
    </row>
    <row r="9" spans="2:13" ht="12.75">
      <c r="B9" s="120"/>
      <c r="C9" s="60">
        <v>5</v>
      </c>
      <c r="D9" s="61" t="s">
        <v>8</v>
      </c>
      <c r="E9" s="62" t="s">
        <v>18</v>
      </c>
      <c r="F9" s="63">
        <f>IF(H9="","",VLOOKUP(uitslagen!C9,basismetingen!$B$5:$G$36,6,FALSE))</f>
        <v>0.0019503472222222222</v>
      </c>
      <c r="G9" s="64">
        <f>IF(H9="","",H9-F9)</f>
        <v>0.0019370370370370375</v>
      </c>
      <c r="H9" s="111">
        <f>IF(I9="x","",VLOOKUP(uitslagen!C9,basismetingen!$B$5:$G$36,5,FALSE))</f>
        <v>0.0038873842592592597</v>
      </c>
      <c r="I9" s="63"/>
      <c r="J9" s="65">
        <f>IF(I9="x","",SUM(H9:H12)/COUNTBLANK(I9:I12))</f>
        <v>0.003916666666666666</v>
      </c>
      <c r="K9" s="66">
        <f t="shared" si="0"/>
        <v>-2.529906604156565</v>
      </c>
      <c r="L9" s="67">
        <f t="shared" si="1"/>
        <v>1.007532676333105</v>
      </c>
      <c r="M9" s="28"/>
    </row>
    <row r="10" spans="2:12" ht="12.75">
      <c r="B10" s="120"/>
      <c r="C10" s="41">
        <v>6</v>
      </c>
      <c r="D10" s="42" t="s">
        <v>9</v>
      </c>
      <c r="E10" s="43" t="s">
        <v>16</v>
      </c>
      <c r="F10" s="44">
        <f>IF(H10="","",VLOOKUP(uitslagen!C10,basismetingen!$B$5:$G$36,6,FALSE))</f>
        <v>0.001887037037037037</v>
      </c>
      <c r="G10" s="45">
        <f>IF(H10="","",H10-F10)</f>
        <v>0.0018907407407407414</v>
      </c>
      <c r="H10" s="109">
        <f>IF(I10="x","",VLOOKUP(uitslagen!C10,basismetingen!$B$5:$G$36,5,FALSE))</f>
        <v>0.0037777777777777783</v>
      </c>
      <c r="I10" s="44"/>
      <c r="J10" s="46">
        <f>IF(I10="x","",SUM(H9:H12)/COUNTBLANK(I9:I12))</f>
        <v>0.003916666666666666</v>
      </c>
      <c r="K10" s="47">
        <f t="shared" si="0"/>
        <v>-11.999557015762775</v>
      </c>
      <c r="L10" s="48">
        <f t="shared" si="1"/>
        <v>1.0367647058823528</v>
      </c>
    </row>
    <row r="11" spans="2:12" ht="12.75">
      <c r="B11" s="120"/>
      <c r="C11" s="41">
        <v>7</v>
      </c>
      <c r="D11" s="42" t="s">
        <v>7</v>
      </c>
      <c r="E11" s="43" t="s">
        <v>19</v>
      </c>
      <c r="F11" s="44">
        <f>IF(H11="","",VLOOKUP(uitslagen!C11,basismetingen!$B$5:$G$36,6,FALSE))</f>
        <v>0.002025347222222221</v>
      </c>
      <c r="G11" s="45">
        <f>IF(H11="","",H11-F11)</f>
        <v>0.001976851851851851</v>
      </c>
      <c r="H11" s="109">
        <f>IF(I11="x","",VLOOKUP(uitslagen!C11,basismetingen!$B$5:$G$36,5,FALSE))</f>
        <v>0.004002199074074072</v>
      </c>
      <c r="I11" s="44"/>
      <c r="J11" s="46">
        <f>IF(I11="x","",SUM(H9:H12)/COUNTBLANK(I9:I12))</f>
        <v>0.003916666666666666</v>
      </c>
      <c r="K11" s="47">
        <f t="shared" si="0"/>
        <v>7.389727195540502</v>
      </c>
      <c r="L11" s="48">
        <f t="shared" si="1"/>
        <v>0.9786286474449815</v>
      </c>
    </row>
    <row r="12" spans="2:12" ht="12.75">
      <c r="B12" s="120"/>
      <c r="C12" s="50">
        <v>8</v>
      </c>
      <c r="D12" s="51" t="s">
        <v>10</v>
      </c>
      <c r="E12" s="52" t="s">
        <v>17</v>
      </c>
      <c r="F12" s="53">
        <f>IF(H12="","",VLOOKUP(uitslagen!C12,basismetingen!$B$5:$G$36,6,FALSE))</f>
        <v>0.002013541666666668</v>
      </c>
      <c r="G12" s="54">
        <f>IF(H12="","",H12-F12)</f>
        <v>0.0019857638888888876</v>
      </c>
      <c r="H12" s="110">
        <f>IF(I12="x","",VLOOKUP(uitslagen!C12,basismetingen!$B$5:$G$36,5,FALSE))</f>
        <v>0.003999305555555555</v>
      </c>
      <c r="I12" s="68"/>
      <c r="J12" s="55">
        <f>IF(I12="x","",SUM(H9:H12)/COUNTBLANK(I9:I12))</f>
        <v>0.003916666666666666</v>
      </c>
      <c r="K12" s="56">
        <f t="shared" si="0"/>
        <v>7.1397364243789525</v>
      </c>
      <c r="L12" s="57">
        <f t="shared" si="1"/>
        <v>0.9793366903976385</v>
      </c>
    </row>
    <row r="13" spans="2:12" ht="12.75">
      <c r="B13" s="120"/>
      <c r="C13" s="41"/>
      <c r="D13" s="58"/>
      <c r="E13" s="59"/>
      <c r="F13" s="41"/>
      <c r="G13" s="45"/>
      <c r="H13" s="109"/>
      <c r="I13" s="41"/>
      <c r="J13" s="58"/>
      <c r="K13" s="47"/>
      <c r="L13" s="48"/>
    </row>
    <row r="14" spans="2:12" ht="12.75">
      <c r="B14" s="120"/>
      <c r="C14" s="60">
        <v>9</v>
      </c>
      <c r="D14" s="61" t="s">
        <v>10</v>
      </c>
      <c r="E14" s="62" t="s">
        <v>18</v>
      </c>
      <c r="F14" s="63">
        <f>IF(H14="","",VLOOKUP(uitslagen!C14,basismetingen!$B$5:$G$36,6,FALSE))</f>
        <v>0.0020858796296296285</v>
      </c>
      <c r="G14" s="64">
        <f>IF(H14="","",H14-F14)</f>
        <v>0.0020922453703703728</v>
      </c>
      <c r="H14" s="111">
        <f>IF(I14="x","",VLOOKUP(uitslagen!C14,basismetingen!$B$5:$G$36,5,FALSE))</f>
        <v>0.004178125000000001</v>
      </c>
      <c r="I14" s="69"/>
      <c r="J14" s="65">
        <f>IF(I14="x","",SUM(H14:H17)/COUNTBLANK(I14:I17))</f>
        <v>0.004043547453703704</v>
      </c>
      <c r="K14" s="66">
        <f t="shared" si="0"/>
        <v>11.627070766732004</v>
      </c>
      <c r="L14" s="67">
        <f t="shared" si="1"/>
        <v>0.9677899664810656</v>
      </c>
    </row>
    <row r="15" spans="2:12" ht="12.75">
      <c r="B15" s="120"/>
      <c r="C15" s="41">
        <v>10</v>
      </c>
      <c r="D15" s="42" t="s">
        <v>7</v>
      </c>
      <c r="E15" s="43" t="s">
        <v>17</v>
      </c>
      <c r="F15" s="44">
        <f>IF(H15="","",VLOOKUP(uitslagen!C15,basismetingen!$B$5:$G$36,6,FALSE))</f>
        <v>0.0019991898148148182</v>
      </c>
      <c r="G15" s="45">
        <f>IF(H15="","",H15-F15)</f>
        <v>0.002026620370370366</v>
      </c>
      <c r="H15" s="109">
        <f>IF(I15="x","",VLOOKUP(uitslagen!C15,basismetingen!$B$5:$G$36,5,FALSE))</f>
        <v>0.004025810185185184</v>
      </c>
      <c r="I15" s="44"/>
      <c r="J15" s="46">
        <f>IF(I15="x","",SUM(H14:H17)/COUNTBLANK(I14:I17))</f>
        <v>0.004043547453703704</v>
      </c>
      <c r="K15" s="47">
        <f t="shared" si="0"/>
        <v>-1.5324434272214376</v>
      </c>
      <c r="L15" s="48">
        <f t="shared" si="1"/>
        <v>1.004405887933761</v>
      </c>
    </row>
    <row r="16" spans="2:12" ht="12.75">
      <c r="B16" s="120"/>
      <c r="C16" s="41">
        <v>11</v>
      </c>
      <c r="D16" s="42" t="s">
        <v>9</v>
      </c>
      <c r="E16" s="43" t="s">
        <v>19</v>
      </c>
      <c r="F16" s="44">
        <f>IF(H16="","",VLOOKUP(uitslagen!C16,basismetingen!$B$5:$G$36,6,FALSE))</f>
        <v>0.0019343749999999951</v>
      </c>
      <c r="G16" s="45">
        <f>IF(H16="","",H16-F16)</f>
        <v>0.0019731481481481544</v>
      </c>
      <c r="H16" s="109">
        <f>IF(I16="x","",VLOOKUP(uitslagen!C16,basismetingen!$B$5:$G$36,5,FALSE))</f>
        <v>0.0039075231481481495</v>
      </c>
      <c r="I16" s="44"/>
      <c r="J16" s="46">
        <f>IF(I16="x","",SUM(H14:H17)/COUNTBLANK(I14:I17))</f>
        <v>0.004043547453703704</v>
      </c>
      <c r="K16" s="47">
        <f t="shared" si="0"/>
        <v>-11.752066152312636</v>
      </c>
      <c r="L16" s="48">
        <f t="shared" si="1"/>
        <v>1.034810876455081</v>
      </c>
    </row>
    <row r="17" spans="2:12" ht="12.75">
      <c r="B17" s="120"/>
      <c r="C17" s="50">
        <v>12</v>
      </c>
      <c r="D17" s="51" t="s">
        <v>8</v>
      </c>
      <c r="E17" s="52" t="s">
        <v>16</v>
      </c>
      <c r="F17" s="53">
        <f>IF(H17="","",VLOOKUP(uitslagen!C17,basismetingen!$B$5:$G$36,6,FALSE))</f>
        <v>0.0020265046296296316</v>
      </c>
      <c r="G17" s="54">
        <f>IF(H17="","",H17-F17)</f>
        <v>0.002036226851851848</v>
      </c>
      <c r="H17" s="110">
        <f>IF(I17="x","",VLOOKUP(uitslagen!C17,basismetingen!$B$5:$G$36,5,FALSE))</f>
        <v>0.00406273148148148</v>
      </c>
      <c r="I17" s="53"/>
      <c r="J17" s="55">
        <f>IF(I17="x","",SUM(H14:H17)/COUNTBLANK(I14:I17))</f>
        <v>0.004043547453703704</v>
      </c>
      <c r="K17" s="56">
        <f t="shared" si="0"/>
        <v>1.657438812802127</v>
      </c>
      <c r="L17" s="57">
        <f t="shared" si="1"/>
        <v>0.9952780468349386</v>
      </c>
    </row>
    <row r="18" spans="2:12" ht="12.75">
      <c r="B18" s="120"/>
      <c r="C18" s="41"/>
      <c r="D18" s="58"/>
      <c r="E18" s="59"/>
      <c r="F18" s="41"/>
      <c r="G18" s="45"/>
      <c r="H18" s="109"/>
      <c r="I18" s="41"/>
      <c r="J18" s="58"/>
      <c r="K18" s="47"/>
      <c r="L18" s="48"/>
    </row>
    <row r="19" spans="2:12" ht="12.75">
      <c r="B19" s="120"/>
      <c r="C19" s="60">
        <v>13</v>
      </c>
      <c r="D19" s="61" t="s">
        <v>7</v>
      </c>
      <c r="E19" s="62" t="s">
        <v>16</v>
      </c>
      <c r="F19" s="63">
        <f>IF(H19="","",VLOOKUP(uitslagen!C19,basismetingen!$B$5:$G$36,6,FALSE))</f>
        <v>0.0020258101851851843</v>
      </c>
      <c r="G19" s="64">
        <f>IF(H19="","",H19-F19)</f>
        <v>0.002012037037037038</v>
      </c>
      <c r="H19" s="111">
        <f>IF(I19="x","",VLOOKUP(uitslagen!C19,basismetingen!$B$5:$G$36,5,FALSE))</f>
        <v>0.004037847222222222</v>
      </c>
      <c r="I19" s="63"/>
      <c r="J19" s="65">
        <f>IF(I19="x","",SUM(H19:H22)/COUNTBLANK(I19:I22))</f>
        <v>0.004008854166666666</v>
      </c>
      <c r="K19" s="66">
        <f t="shared" si="0"/>
        <v>2.5049075270405865</v>
      </c>
      <c r="L19" s="67">
        <f t="shared" si="1"/>
        <v>0.9928196749505545</v>
      </c>
    </row>
    <row r="20" spans="2:12" ht="12.75">
      <c r="B20" s="120"/>
      <c r="C20" s="41">
        <v>14</v>
      </c>
      <c r="D20" s="42" t="s">
        <v>10</v>
      </c>
      <c r="E20" s="43" t="s">
        <v>19</v>
      </c>
      <c r="F20" s="44">
        <f>IF(H20="","",VLOOKUP(uitslagen!C20,basismetingen!$B$5:$G$36,6,FALSE))</f>
        <v>0.0020613425925925938</v>
      </c>
      <c r="G20" s="45">
        <f>IF(H20="","",H20-F20)</f>
        <v>0.002046180555555553</v>
      </c>
      <c r="H20" s="109">
        <f>IF(I20="x","",VLOOKUP(uitslagen!C20,basismetingen!$B$5:$G$36,5,FALSE))</f>
        <v>0.004107523148148147</v>
      </c>
      <c r="I20" s="49"/>
      <c r="J20" s="46">
        <f>IF(I20="x","",SUM(H19:H22)/COUNTBLANK(I19:I22))</f>
        <v>0.004008854166666666</v>
      </c>
      <c r="K20" s="47">
        <f t="shared" si="0"/>
        <v>8.524685296614791</v>
      </c>
      <c r="L20" s="48">
        <f t="shared" si="1"/>
        <v>0.9759784722026545</v>
      </c>
    </row>
    <row r="21" spans="2:12" ht="12.75">
      <c r="B21" s="120"/>
      <c r="C21" s="41">
        <v>15</v>
      </c>
      <c r="D21" s="42" t="s">
        <v>8</v>
      </c>
      <c r="E21" s="43" t="s">
        <v>17</v>
      </c>
      <c r="F21" s="44">
        <f>IF(H21="","",VLOOKUP(uitslagen!C21,basismetingen!$B$5:$G$36,6,FALSE))</f>
        <v>0.0019942129629629633</v>
      </c>
      <c r="G21" s="45">
        <f>IF(H21="","",H21-F21)</f>
        <v>0.0020196759259259248</v>
      </c>
      <c r="H21" s="109">
        <f>IF(I21="x","",VLOOKUP(uitslagen!C21,basismetingen!$B$5:$G$36,5,FALSE))</f>
        <v>0.004013888888888888</v>
      </c>
      <c r="I21" s="44"/>
      <c r="J21" s="46">
        <f>IF(I21="x","",SUM(H19:H22)/COUNTBLANK(I19:I22))</f>
        <v>0.004008854166666666</v>
      </c>
      <c r="K21" s="47">
        <f t="shared" si="0"/>
        <v>0.43498394182142874</v>
      </c>
      <c r="L21" s="48">
        <f t="shared" si="1"/>
        <v>0.9987456747404844</v>
      </c>
    </row>
    <row r="22" spans="2:12" ht="12.75">
      <c r="B22" s="122"/>
      <c r="C22" s="50">
        <v>16</v>
      </c>
      <c r="D22" s="51" t="s">
        <v>9</v>
      </c>
      <c r="E22" s="52" t="s">
        <v>18</v>
      </c>
      <c r="F22" s="53">
        <f>IF(H22="","",VLOOKUP(uitslagen!C22,basismetingen!$B$5:$G$36,6,FALSE))</f>
        <v>0.0019300925925925909</v>
      </c>
      <c r="G22" s="54">
        <f>IF(H22="","",H22-F22)</f>
        <v>0.0019460648148148171</v>
      </c>
      <c r="H22" s="110">
        <f>IF(I22="x","",VLOOKUP(uitslagen!C22,basismetingen!$B$5:$G$36,5,FALSE))</f>
        <v>0.003876157407407408</v>
      </c>
      <c r="I22" s="53"/>
      <c r="J22" s="55">
        <f>IF(I22="x","",SUM(H19:H22)/COUNTBLANK(I19:I22))</f>
        <v>0.004008854166666666</v>
      </c>
      <c r="K22" s="56">
        <f t="shared" si="0"/>
        <v>-11.464576765476636</v>
      </c>
      <c r="L22" s="57">
        <f t="shared" si="1"/>
        <v>1.0342340997312627</v>
      </c>
    </row>
    <row r="23" spans="2:12" ht="12.75">
      <c r="B23" s="40"/>
      <c r="C23" s="70"/>
      <c r="D23" s="43"/>
      <c r="E23" s="43"/>
      <c r="F23" s="70"/>
      <c r="G23" s="45"/>
      <c r="H23" s="45"/>
      <c r="I23" s="70"/>
      <c r="J23" s="59"/>
      <c r="K23" s="71"/>
      <c r="L23" s="72"/>
    </row>
    <row r="24" spans="2:12" ht="13.5" thickBot="1">
      <c r="B24" s="34">
        <v>2</v>
      </c>
      <c r="C24" s="73"/>
      <c r="D24" s="74"/>
      <c r="E24" s="74"/>
      <c r="F24" s="73"/>
      <c r="G24" s="75"/>
      <c r="H24" s="75"/>
      <c r="I24" s="73"/>
      <c r="J24" s="74"/>
      <c r="K24" s="76"/>
      <c r="L24" s="77"/>
    </row>
    <row r="25" spans="2:12" ht="13.5" thickTop="1">
      <c r="B25" s="119" t="s">
        <v>70</v>
      </c>
      <c r="C25" s="78">
        <v>17</v>
      </c>
      <c r="D25" s="79" t="s">
        <v>7</v>
      </c>
      <c r="E25" s="43" t="s">
        <v>16</v>
      </c>
      <c r="F25" s="80">
        <f>IF(H25="","",VLOOKUP(uitslagen!C25,basismetingen!$B$5:$G$36,6,FALSE))</f>
        <v>0.0018377314814814819</v>
      </c>
      <c r="G25" s="45">
        <f>IF(H25="","",H25-F25)</f>
        <v>0.0018402777777777775</v>
      </c>
      <c r="H25" s="112">
        <f>IF(I25="x","",VLOOKUP(uitslagen!C25,basismetingen!$B$5:$G$36,5,FALSE))</f>
        <v>0.0036780092592592593</v>
      </c>
      <c r="I25" s="80"/>
      <c r="J25" s="81">
        <f>IF(I25="x","",SUM(H25:H28)/COUNTBLANK(I25:I28))</f>
        <v>0.0037048611111111093</v>
      </c>
      <c r="K25" s="82">
        <f t="shared" si="0"/>
        <v>-2.31991435638065</v>
      </c>
      <c r="L25" s="83">
        <f t="shared" si="1"/>
        <v>1.0073006482472144</v>
      </c>
    </row>
    <row r="26" spans="2:12" ht="12.75">
      <c r="B26" s="120"/>
      <c r="C26" s="41">
        <v>18</v>
      </c>
      <c r="D26" s="42" t="s">
        <v>8</v>
      </c>
      <c r="E26" s="43" t="s">
        <v>17</v>
      </c>
      <c r="F26" s="44">
        <f>IF(H26="","",VLOOKUP(uitslagen!C26,basismetingen!$B$5:$G$36,6,FALSE))</f>
        <v>0.0018347222222222202</v>
      </c>
      <c r="G26" s="45">
        <f>IF(H26="","",H26-F26)</f>
        <v>0.0018452546296296307</v>
      </c>
      <c r="H26" s="109">
        <f>IF(I26="x","",VLOOKUP(uitslagen!C26,basismetingen!$B$5:$G$36,5,FALSE))</f>
        <v>0.003679976851851851</v>
      </c>
      <c r="I26" s="44"/>
      <c r="J26" s="46">
        <f>IF(I26="x","",SUM(H25:H28)/COUNTBLANK(I25:I28))</f>
        <v>0.0037048611111111093</v>
      </c>
      <c r="K26" s="47">
        <f t="shared" si="0"/>
        <v>-2.149920631990767</v>
      </c>
      <c r="L26" s="48">
        <f t="shared" si="1"/>
        <v>1.006762069507784</v>
      </c>
    </row>
    <row r="27" spans="2:12" ht="12.75">
      <c r="B27" s="120"/>
      <c r="C27" s="41">
        <v>19</v>
      </c>
      <c r="D27" s="42" t="s">
        <v>10</v>
      </c>
      <c r="E27" s="43" t="s">
        <v>19</v>
      </c>
      <c r="F27" s="44">
        <f>IF(H27="","",VLOOKUP(uitslagen!C27,basismetingen!$B$5:$G$36,6,FALSE))</f>
        <v>0.0019104166666666644</v>
      </c>
      <c r="G27" s="45">
        <f>IF(H27="","",H27-F27)</f>
        <v>0.0019179398148148133</v>
      </c>
      <c r="H27" s="109">
        <f>IF(I27="x","",VLOOKUP(uitslagen!C27,basismetingen!$B$5:$G$36,5,FALSE))</f>
        <v>0.0038283564814814777</v>
      </c>
      <c r="I27" s="49"/>
      <c r="J27" s="46">
        <f>IF(I27="x","",SUM(H25:H28)/COUNTBLANK(I25:I28))</f>
        <v>0.0037048611111111093</v>
      </c>
      <c r="K27" s="47">
        <f t="shared" si="0"/>
        <v>10.669606113182283</v>
      </c>
      <c r="L27" s="48">
        <f t="shared" si="1"/>
        <v>0.9677419354838714</v>
      </c>
    </row>
    <row r="28" spans="2:12" ht="12.75">
      <c r="B28" s="120"/>
      <c r="C28" s="50">
        <v>20</v>
      </c>
      <c r="D28" s="51" t="s">
        <v>9</v>
      </c>
      <c r="E28" s="52" t="s">
        <v>18</v>
      </c>
      <c r="F28" s="53">
        <f>IF(H28="","",VLOOKUP(uitslagen!C28,basismetingen!$B$5:$G$36,6,FALSE))</f>
        <v>0.0018070601851851824</v>
      </c>
      <c r="G28" s="54">
        <f>IF(H28="","",H28-F28)</f>
        <v>0.0018260416666666668</v>
      </c>
      <c r="H28" s="110">
        <f>IF(I28="x","",VLOOKUP(uitslagen!C28,basismetingen!$B$5:$G$36,5,FALSE))</f>
        <v>0.003633101851851849</v>
      </c>
      <c r="I28" s="53"/>
      <c r="J28" s="55">
        <f>IF(I28="x","",SUM(H25:H28)/COUNTBLANK(I25:I28))</f>
        <v>0.0037048611111111093</v>
      </c>
      <c r="K28" s="56">
        <f t="shared" si="0"/>
        <v>-6.199771124810923</v>
      </c>
      <c r="L28" s="57">
        <f t="shared" si="1"/>
        <v>1.0197515132207713</v>
      </c>
    </row>
    <row r="29" spans="2:12" ht="12.75">
      <c r="B29" s="120"/>
      <c r="C29" s="41"/>
      <c r="D29" s="58"/>
      <c r="E29" s="59"/>
      <c r="F29" s="41"/>
      <c r="G29" s="45"/>
      <c r="H29" s="109"/>
      <c r="I29" s="41"/>
      <c r="J29" s="58"/>
      <c r="K29" s="47"/>
      <c r="L29" s="48"/>
    </row>
    <row r="30" spans="2:12" ht="12.75">
      <c r="B30" s="120"/>
      <c r="C30" s="60">
        <v>21</v>
      </c>
      <c r="D30" s="61" t="s">
        <v>7</v>
      </c>
      <c r="E30" s="62" t="s">
        <v>17</v>
      </c>
      <c r="F30" s="63">
        <f>IF(H30="","",VLOOKUP(uitslagen!C30,basismetingen!$B$5:$G$36,6,FALSE))</f>
        <v>0.0018722222222222265</v>
      </c>
      <c r="G30" s="64">
        <f>IF(H30="","",H30-F30)</f>
        <v>0.0018858796296296262</v>
      </c>
      <c r="H30" s="111">
        <f>IF(I30="x","",VLOOKUP(uitslagen!C30,basismetingen!$B$5:$G$36,5,FALSE))</f>
        <v>0.0037581018518518527</v>
      </c>
      <c r="I30" s="63"/>
      <c r="J30" s="65">
        <f>IF(I30="x","",SUM(H30:H33)/COUNTBLANK(I30:I33))</f>
        <v>0.003773234953703705</v>
      </c>
      <c r="K30" s="66">
        <f t="shared" si="0"/>
        <v>-1.3074517331758102</v>
      </c>
      <c r="L30" s="67">
        <f t="shared" si="1"/>
        <v>1.004026793963659</v>
      </c>
    </row>
    <row r="31" spans="2:12" ht="12.75">
      <c r="B31" s="120"/>
      <c r="C31" s="41">
        <v>22</v>
      </c>
      <c r="D31" s="42" t="s">
        <v>10</v>
      </c>
      <c r="E31" s="43" t="s">
        <v>16</v>
      </c>
      <c r="F31" s="44">
        <f>IF(H31="","",VLOOKUP(uitslagen!C31,basismetingen!$B$5:$G$36,6,FALSE))</f>
        <v>0.0019410879629629604</v>
      </c>
      <c r="G31" s="45">
        <f>IF(H31="","",H31-F31)</f>
        <v>0.0019412037037037089</v>
      </c>
      <c r="H31" s="109">
        <f>IF(I31="x","",VLOOKUP(uitslagen!C31,basismetingen!$B$5:$G$36,5,FALSE))</f>
        <v>0.0038822916666666693</v>
      </c>
      <c r="I31" s="49"/>
      <c r="J31" s="46">
        <f>IF(I31="x","",SUM(H30:H33)/COUNTBLANK(I30:I33))</f>
        <v>0.003773234953703705</v>
      </c>
      <c r="K31" s="47">
        <f t="shared" si="0"/>
        <v>9.422152165085606</v>
      </c>
      <c r="L31" s="48">
        <f t="shared" si="1"/>
        <v>0.9719091911874307</v>
      </c>
    </row>
    <row r="32" spans="2:12" ht="12.75">
      <c r="B32" s="120"/>
      <c r="C32" s="41">
        <v>23</v>
      </c>
      <c r="D32" s="42" t="s">
        <v>8</v>
      </c>
      <c r="E32" s="43" t="s">
        <v>18</v>
      </c>
      <c r="F32" s="44">
        <f>IF(H32="","",VLOOKUP(uitslagen!C32,basismetingen!$B$5:$G$36,6,FALSE))</f>
        <v>0.001851041666666664</v>
      </c>
      <c r="G32" s="45">
        <f>IF(H32="","",H32-F32)</f>
        <v>0.0018791666666666748</v>
      </c>
      <c r="H32" s="109">
        <f>IF(I32="x","",VLOOKUP(uitslagen!C32,basismetingen!$B$5:$G$36,5,FALSE))</f>
        <v>0.003730208333333339</v>
      </c>
      <c r="I32" s="44"/>
      <c r="J32" s="46">
        <f>IF(I32="x","",SUM(H30:H33)/COUNTBLANK(I30:I33))</f>
        <v>0.003773234953703705</v>
      </c>
      <c r="K32" s="47">
        <f t="shared" si="0"/>
        <v>-3.71736276717445</v>
      </c>
      <c r="L32" s="48">
        <f t="shared" si="1"/>
        <v>1.0115346427130834</v>
      </c>
    </row>
    <row r="33" spans="2:12" ht="12.75">
      <c r="B33" s="120"/>
      <c r="C33" s="50">
        <v>24</v>
      </c>
      <c r="D33" s="51" t="s">
        <v>9</v>
      </c>
      <c r="E33" s="52" t="s">
        <v>19</v>
      </c>
      <c r="F33" s="53">
        <f>IF(H33="","",VLOOKUP(uitslagen!C33,basismetingen!$B$5:$G$36,6,FALSE))</f>
        <v>0.0018353009259259243</v>
      </c>
      <c r="G33" s="54">
        <f>IF(H33="","",H33-F33)</f>
        <v>0.0018870370370370343</v>
      </c>
      <c r="H33" s="110">
        <f>IF(I33="x","",VLOOKUP(uitslagen!C33,basismetingen!$B$5:$G$36,5,FALSE))</f>
        <v>0.0037223379629629585</v>
      </c>
      <c r="I33" s="53"/>
      <c r="J33" s="55">
        <f>IF(I33="x","",SUM(H30:H33)/COUNTBLANK(I30:I33))</f>
        <v>0.003773234953703705</v>
      </c>
      <c r="K33" s="56">
        <f t="shared" si="0"/>
        <v>-4.3973376647352325</v>
      </c>
      <c r="L33" s="57">
        <f t="shared" si="1"/>
        <v>1.0136733932402615</v>
      </c>
    </row>
    <row r="34" spans="2:12" ht="12.75">
      <c r="B34" s="120"/>
      <c r="C34" s="41"/>
      <c r="D34" s="58"/>
      <c r="E34" s="59"/>
      <c r="F34" s="41"/>
      <c r="G34" s="45"/>
      <c r="H34" s="109"/>
      <c r="I34" s="41"/>
      <c r="J34" s="58"/>
      <c r="K34" s="47"/>
      <c r="L34" s="48"/>
    </row>
    <row r="35" spans="2:12" ht="12.75">
      <c r="B35" s="120"/>
      <c r="C35" s="60">
        <v>25</v>
      </c>
      <c r="D35" s="61" t="s">
        <v>8</v>
      </c>
      <c r="E35" s="62" t="s">
        <v>19</v>
      </c>
      <c r="F35" s="63">
        <f>IF(H35="","",VLOOKUP(uitslagen!C35,basismetingen!$B$5:$G$36,6,FALSE))</f>
        <v>0.001900694444444434</v>
      </c>
      <c r="G35" s="64">
        <f>IF(H35="","",H35-F35)</f>
        <v>0.0019097222222222293</v>
      </c>
      <c r="H35" s="111">
        <f>IF(I35="x","",VLOOKUP(uitslagen!C35,basismetingen!$B$5:$G$36,5,FALSE))</f>
        <v>0.0038104166666666633</v>
      </c>
      <c r="I35" s="63"/>
      <c r="J35" s="65">
        <f>IF(I35="x","",SUM(H35:H38)/COUNTBLANK(I35:I38))</f>
        <v>0.0038100983796296277</v>
      </c>
      <c r="K35" s="66">
        <f t="shared" si="0"/>
        <v>0.02749898482761637</v>
      </c>
      <c r="L35" s="67">
        <f t="shared" si="1"/>
        <v>0.9999164692303023</v>
      </c>
    </row>
    <row r="36" spans="2:12" ht="12.75">
      <c r="B36" s="120"/>
      <c r="C36" s="41">
        <v>26</v>
      </c>
      <c r="D36" s="42" t="s">
        <v>7</v>
      </c>
      <c r="E36" s="43" t="s">
        <v>18</v>
      </c>
      <c r="F36" s="44">
        <f>IF(H36="","",VLOOKUP(uitslagen!C36,basismetingen!$B$5:$G$36,6,FALSE))</f>
        <v>0.0019123842592592422</v>
      </c>
      <c r="G36" s="45">
        <f>IF(H36="","",H36-F36)</f>
        <v>0.001894097222222224</v>
      </c>
      <c r="H36" s="109">
        <f>IF(I36="x","",VLOOKUP(uitslagen!C36,basismetingen!$B$5:$G$36,5,FALSE))</f>
        <v>0.0038064814814814663</v>
      </c>
      <c r="I36" s="44"/>
      <c r="J36" s="46">
        <f>IF(I36="x","",SUM(H35:H38)/COUNTBLANK(I35:I38))</f>
        <v>0.0038100983796296277</v>
      </c>
      <c r="K36" s="47">
        <f t="shared" si="0"/>
        <v>-0.3124884639533434</v>
      </c>
      <c r="L36" s="48">
        <f t="shared" si="1"/>
        <v>1.0009501945998576</v>
      </c>
    </row>
    <row r="37" spans="2:12" ht="12.75">
      <c r="B37" s="120"/>
      <c r="C37" s="41">
        <v>27</v>
      </c>
      <c r="D37" s="42" t="s">
        <v>9</v>
      </c>
      <c r="E37" s="43" t="s">
        <v>16</v>
      </c>
      <c r="F37" s="44">
        <f>IF(H37="","",VLOOKUP(uitslagen!C37,basismetingen!$B$5:$G$36,6,FALSE))</f>
        <v>0.0018675925925925874</v>
      </c>
      <c r="G37" s="45">
        <f>IF(H37="","",H37-F37)</f>
        <v>0.0018657407407407511</v>
      </c>
      <c r="H37" s="109">
        <f>IF(I37="x","",VLOOKUP(uitslagen!C37,basismetingen!$B$5:$G$36,5,FALSE))</f>
        <v>0.0037333333333333385</v>
      </c>
      <c r="I37" s="44"/>
      <c r="J37" s="46">
        <f>IF(I37="x","",SUM(H35:H38)/COUNTBLANK(I35:I38))</f>
        <v>0.0038100983796296277</v>
      </c>
      <c r="K37" s="47">
        <f t="shared" si="0"/>
        <v>-6.632255158920032</v>
      </c>
      <c r="L37" s="48">
        <f t="shared" si="1"/>
        <v>1.0205620659722203</v>
      </c>
    </row>
    <row r="38" spans="2:12" ht="12.75">
      <c r="B38" s="120"/>
      <c r="C38" s="50">
        <v>28</v>
      </c>
      <c r="D38" s="51" t="s">
        <v>10</v>
      </c>
      <c r="E38" s="52" t="s">
        <v>17</v>
      </c>
      <c r="F38" s="53">
        <f>IF(H38="","",VLOOKUP(uitslagen!C38,basismetingen!$B$5:$G$36,6,FALSE))</f>
        <v>0.0019476851851851773</v>
      </c>
      <c r="G38" s="54">
        <f>IF(H38="","",H38-F38)</f>
        <v>0.0019424768518518654</v>
      </c>
      <c r="H38" s="110">
        <f>IF(I38="x","",VLOOKUP(uitslagen!C38,basismetingen!$B$5:$G$36,5,FALSE))</f>
        <v>0.0038901620370370427</v>
      </c>
      <c r="I38" s="68"/>
      <c r="J38" s="55">
        <f>IF(I38="x","",SUM(H35:H38)/COUNTBLANK(I35:I38))</f>
        <v>0.0038100983796296277</v>
      </c>
      <c r="K38" s="56">
        <f t="shared" si="0"/>
        <v>6.917244638045588</v>
      </c>
      <c r="L38" s="57">
        <f t="shared" si="1"/>
        <v>0.9794189402278997</v>
      </c>
    </row>
    <row r="39" spans="2:12" ht="12.75">
      <c r="B39" s="120"/>
      <c r="C39" s="41"/>
      <c r="D39" s="58"/>
      <c r="E39" s="59"/>
      <c r="F39" s="41"/>
      <c r="G39" s="45"/>
      <c r="H39" s="109"/>
      <c r="I39" s="41"/>
      <c r="J39" s="58"/>
      <c r="K39" s="47"/>
      <c r="L39" s="48"/>
    </row>
    <row r="40" spans="2:12" ht="12.75">
      <c r="B40" s="120"/>
      <c r="C40" s="60">
        <v>29</v>
      </c>
      <c r="D40" s="61" t="s">
        <v>10</v>
      </c>
      <c r="E40" s="62" t="s">
        <v>18</v>
      </c>
      <c r="F40" s="63">
        <f>IF(H40="","",VLOOKUP(uitslagen!C40,basismetingen!$B$5:$G$36,6,FALSE))</f>
        <v>0.0019280092592592751</v>
      </c>
      <c r="G40" s="64">
        <f>IF(H40="","",H40-F40)</f>
        <v>0.0019070601851851748</v>
      </c>
      <c r="H40" s="111">
        <f>IF(I40="x","",VLOOKUP(uitslagen!C40,basismetingen!$B$5:$G$36,5,FALSE))</f>
        <v>0.00383506944444445</v>
      </c>
      <c r="I40" s="69"/>
      <c r="J40" s="65">
        <f>IF(I40="x","",SUM(H40:H43)/COUNTBLANK(I40:I43))</f>
        <v>0.0037823784722222226</v>
      </c>
      <c r="K40" s="66">
        <f t="shared" si="0"/>
        <v>4.55233194285546</v>
      </c>
      <c r="L40" s="67">
        <f t="shared" si="1"/>
        <v>0.9862607514712526</v>
      </c>
    </row>
    <row r="41" spans="2:12" ht="12.75">
      <c r="B41" s="120"/>
      <c r="C41" s="41">
        <v>30</v>
      </c>
      <c r="D41" s="42" t="s">
        <v>7</v>
      </c>
      <c r="E41" s="43" t="s">
        <v>19</v>
      </c>
      <c r="F41" s="44">
        <f>IF(H41="","",VLOOKUP(uitslagen!C41,basismetingen!$B$5:$G$36,6,FALSE))</f>
        <v>0.0019261574074074111</v>
      </c>
      <c r="G41" s="45">
        <f>IF(H41="","",H41-F41)</f>
        <v>0.0019050925925925832</v>
      </c>
      <c r="H41" s="109">
        <f>IF(I41="x","",VLOOKUP(uitslagen!C41,basismetingen!$B$5:$G$36,5,FALSE))</f>
        <v>0.0038312499999999944</v>
      </c>
      <c r="I41" s="44"/>
      <c r="J41" s="46">
        <f>IF(I41="x","",SUM(H40:H43)/COUNTBLANK(I40:I43))</f>
        <v>0.0037823784722222226</v>
      </c>
      <c r="K41" s="47">
        <f t="shared" si="0"/>
        <v>4.222344124921051</v>
      </c>
      <c r="L41" s="48">
        <f t="shared" si="1"/>
        <v>0.9872439731738278</v>
      </c>
    </row>
    <row r="42" spans="2:12" ht="12.75">
      <c r="B42" s="120"/>
      <c r="C42" s="41">
        <v>31</v>
      </c>
      <c r="D42" s="42" t="s">
        <v>9</v>
      </c>
      <c r="E42" s="43" t="s">
        <v>17</v>
      </c>
      <c r="F42" s="44">
        <f>IF(H42="","",VLOOKUP(uitslagen!C42,basismetingen!$B$5:$G$36,6,FALSE))</f>
        <v>0.0018545138888888951</v>
      </c>
      <c r="G42" s="45">
        <f>IF(H42="","",H42-F42)</f>
        <v>0.0018533564814814801</v>
      </c>
      <c r="H42" s="109">
        <f>IF(I42="x","",VLOOKUP(uitslagen!C42,basismetingen!$B$5:$G$36,5,FALSE))</f>
        <v>0.0037078703703703753</v>
      </c>
      <c r="I42" s="44"/>
      <c r="J42" s="46">
        <f>IF(I42="x","",SUM(H40:H43)/COUNTBLANK(I40:I43))</f>
        <v>0.0037823784722222226</v>
      </c>
      <c r="K42" s="47">
        <f t="shared" si="0"/>
        <v>-6.437262357414056</v>
      </c>
      <c r="L42" s="48">
        <f t="shared" si="1"/>
        <v>1.0200945810962654</v>
      </c>
    </row>
    <row r="43" spans="2:12" ht="13.5" thickBot="1">
      <c r="B43" s="121"/>
      <c r="C43" s="84">
        <v>32</v>
      </c>
      <c r="D43" s="85" t="s">
        <v>8</v>
      </c>
      <c r="E43" s="86" t="s">
        <v>16</v>
      </c>
      <c r="F43" s="87">
        <f>IF(H43="","",VLOOKUP(uitslagen!C43,basismetingen!$B$5:$G$36,6,FALSE))</f>
        <v>0.0018846064814814767</v>
      </c>
      <c r="G43" s="88">
        <f>IF(H43="","",H43-F43)</f>
        <v>0.001870717592592594</v>
      </c>
      <c r="H43" s="113">
        <f>IF(I43="x","",VLOOKUP(uitslagen!C43,basismetingen!$B$5:$G$36,5,FALSE))</f>
        <v>0.0037553240740740707</v>
      </c>
      <c r="I43" s="87"/>
      <c r="J43" s="89">
        <f>IF(I43="x","",SUM(H40:H43)/COUNTBLANK(I40:I43))</f>
        <v>0.0037823784722222226</v>
      </c>
      <c r="K43" s="90">
        <f t="shared" si="0"/>
        <v>-2.337413710362455</v>
      </c>
      <c r="L43" s="91">
        <f t="shared" si="1"/>
        <v>1.007204277877089</v>
      </c>
    </row>
    <row r="44" ht="13.5" thickBot="1"/>
    <row r="45" spans="3:17" ht="13.5" thickBot="1">
      <c r="C45" s="92" t="s">
        <v>66</v>
      </c>
      <c r="D45" s="93"/>
      <c r="E45" s="117" t="s">
        <v>65</v>
      </c>
      <c r="F45" s="118"/>
      <c r="G45" s="118"/>
      <c r="H45" s="118"/>
      <c r="I45" s="94"/>
      <c r="J45" s="117" t="s">
        <v>41</v>
      </c>
      <c r="K45" s="118"/>
      <c r="L45" s="118"/>
      <c r="M45" s="118"/>
      <c r="N45" s="95"/>
      <c r="O45" s="94" t="s">
        <v>65</v>
      </c>
      <c r="P45" s="94" t="s">
        <v>41</v>
      </c>
      <c r="Q45" s="96" t="s">
        <v>39</v>
      </c>
    </row>
    <row r="46" spans="3:17" ht="13.5" thickTop="1">
      <c r="C46" s="97">
        <f>IF(Q46="","",RANK(Q46,$Q$46:$Q$49))</f>
        <v>3</v>
      </c>
      <c r="D46" s="79" t="s">
        <v>7</v>
      </c>
      <c r="E46" s="98">
        <f>VLOOKUP(D46,$D$4:$L$7,9,FALSE)</f>
        <v>0.9993580851754572</v>
      </c>
      <c r="F46" s="99">
        <f>VLOOKUP(D46,$D$9:$L$12,9,FALSE)</f>
        <v>0.9786286474449815</v>
      </c>
      <c r="G46" s="99">
        <f>VLOOKUP(D46,$D$14:$L$17,9,FALSE)</f>
        <v>1.004405887933761</v>
      </c>
      <c r="H46" s="99">
        <f>VLOOKUP(D46,$D$19:$L$22,9,FALSE)</f>
        <v>0.9928196749505545</v>
      </c>
      <c r="I46" s="41"/>
      <c r="J46" s="100">
        <f>VLOOKUP(D46,$D$25:$L$28,9,FALSE)</f>
        <v>1.0073006482472144</v>
      </c>
      <c r="K46" s="99">
        <f>VLOOKUP(D46,$D$30:$L$33,9,FALSE)</f>
        <v>1.004026793963659</v>
      </c>
      <c r="L46" s="99">
        <f>VLOOKUP(D46,$D$35:$L$38,9,FALSE)</f>
        <v>1.0009501945998576</v>
      </c>
      <c r="M46" s="99">
        <f>VLOOKUP(D46,$D$40:$L$43,9,FALSE)</f>
        <v>0.9872439731738278</v>
      </c>
      <c r="N46" s="58"/>
      <c r="O46" s="101">
        <f>IF(SUM(E46:H46)=0,"",SUM(E46:H46)/COUNT(E46:H46))</f>
        <v>0.9938030738761885</v>
      </c>
      <c r="P46" s="101">
        <f>IF(SUM(J46:M46)=0,"",SUM(J46:M46)/COUNT(J46:M46))</f>
        <v>0.9998804024961396</v>
      </c>
      <c r="Q46" s="48">
        <f>IF(AND(O46="",P46=""),"",(P46+O46)/2)</f>
        <v>0.9968417381861641</v>
      </c>
    </row>
    <row r="47" spans="3:17" ht="12.75">
      <c r="C47" s="97">
        <f>IF(Q47="","",RANK(Q47,$Q$46:$Q$49))</f>
        <v>1</v>
      </c>
      <c r="D47" s="42" t="s">
        <v>9</v>
      </c>
      <c r="E47" s="100">
        <f>VLOOKUP(D47,$D$4:$L$7,9,FALSE)</f>
        <v>1.0315060773144071</v>
      </c>
      <c r="F47" s="99">
        <f>VLOOKUP(D47,$D$9:$L$12,9,FALSE)</f>
        <v>1.0367647058823528</v>
      </c>
      <c r="G47" s="99">
        <f>VLOOKUP(D47,$D$14:$L$17,9,FALSE)</f>
        <v>1.034810876455081</v>
      </c>
      <c r="H47" s="99">
        <f>VLOOKUP(D47,$D$19:$L$22,9,FALSE)</f>
        <v>1.0342340997312627</v>
      </c>
      <c r="I47" s="41"/>
      <c r="J47" s="100">
        <f>VLOOKUP(D47,$D$25:$L$28,9,FALSE)</f>
        <v>1.0197515132207713</v>
      </c>
      <c r="K47" s="99">
        <f>VLOOKUP(D47,$D$30:$L$33,9,FALSE)</f>
        <v>1.0136733932402615</v>
      </c>
      <c r="L47" s="99">
        <f>VLOOKUP(D47,$D$35:$L$38,9,FALSE)</f>
        <v>1.0205620659722203</v>
      </c>
      <c r="M47" s="99">
        <f>VLOOKUP(D47,$D$40:$L$43,9,FALSE)</f>
        <v>1.0200945810962654</v>
      </c>
      <c r="N47" s="58"/>
      <c r="O47" s="101">
        <f>IF(SUM(E47:H47)=0,"",SUM(E47:H47)/COUNT(E47:H47))</f>
        <v>1.034328939845776</v>
      </c>
      <c r="P47" s="101">
        <f>IF(SUM(J47:M47)=0,"",SUM(J47:M47)/COUNT(J47:M47))</f>
        <v>1.0185203883823797</v>
      </c>
      <c r="Q47" s="48">
        <f>IF(AND(O47="",P47=""),"",(P47+O47)/2)</f>
        <v>1.026424664114078</v>
      </c>
    </row>
    <row r="48" spans="3:17" ht="12.75">
      <c r="C48" s="97">
        <f>IF(Q48="","",RANK(Q48,$Q$46:$Q$49))</f>
        <v>4</v>
      </c>
      <c r="D48" s="42" t="s">
        <v>10</v>
      </c>
      <c r="E48" s="100">
        <f>VLOOKUP(D48,$D$4:$L$7,9,FALSE)</f>
        <v>0.9712103829054926</v>
      </c>
      <c r="F48" s="99">
        <f>VLOOKUP(D48,$D$9:$L$12,9,FALSE)</f>
        <v>0.9793366903976385</v>
      </c>
      <c r="G48" s="99">
        <f>VLOOKUP(D48,$D$14:$L$17,9,FALSE)</f>
        <v>0.9677899664810656</v>
      </c>
      <c r="H48" s="99">
        <f>VLOOKUP(D48,$D$19:$L$22,9,FALSE)</f>
        <v>0.9759784722026545</v>
      </c>
      <c r="I48" s="41"/>
      <c r="J48" s="100">
        <f>VLOOKUP(D48,$D$25:$L$28,9,FALSE)</f>
        <v>0.9677419354838714</v>
      </c>
      <c r="K48" s="99">
        <f>VLOOKUP(D48,$D$30:$L$33,9,FALSE)</f>
        <v>0.9719091911874307</v>
      </c>
      <c r="L48" s="99">
        <f>VLOOKUP(D48,$D$35:$L$38,9,FALSE)</f>
        <v>0.9794189402278997</v>
      </c>
      <c r="M48" s="99">
        <f>VLOOKUP(D48,$D$40:$L$43,9,FALSE)</f>
        <v>0.9862607514712526</v>
      </c>
      <c r="N48" s="58"/>
      <c r="O48" s="101">
        <f>IF(SUM(E48:H48)=0,"",SUM(E48:H48)/COUNT(E48:H48))</f>
        <v>0.9735788779967127</v>
      </c>
      <c r="P48" s="101">
        <f>IF(SUM(J48:M48)=0,"",SUM(J48:M48)/COUNT(J48:M48))</f>
        <v>0.9763327045926136</v>
      </c>
      <c r="Q48" s="48">
        <f>IF(AND(O48="",P48=""),"",(P48+O48)/2)</f>
        <v>0.9749557912946631</v>
      </c>
    </row>
    <row r="49" spans="3:17" ht="13.5" thickBot="1">
      <c r="C49" s="102">
        <f>IF(Q49="","",RANK(Q49,$Q$46:$Q$49))</f>
        <v>2</v>
      </c>
      <c r="D49" s="85" t="s">
        <v>8</v>
      </c>
      <c r="E49" s="103">
        <f>VLOOKUP(D49,$D$4:$L$7,9,FALSE)</f>
        <v>0.999741659285502</v>
      </c>
      <c r="F49" s="104">
        <f>VLOOKUP(D49,$D$9:$L$12,9,FALSE)</f>
        <v>1.007532676333105</v>
      </c>
      <c r="G49" s="104">
        <f>VLOOKUP(D49,$D$14:$L$17,9,FALSE)</f>
        <v>0.9952780468349386</v>
      </c>
      <c r="H49" s="104">
        <f>VLOOKUP(D49,$D$19:$L$22,9,FALSE)</f>
        <v>0.9987456747404844</v>
      </c>
      <c r="I49" s="84"/>
      <c r="J49" s="103">
        <f>VLOOKUP(D49,$D$25:$L$28,9,FALSE)</f>
        <v>1.006762069507784</v>
      </c>
      <c r="K49" s="104">
        <f>VLOOKUP(D49,$D$30:$L$33,9,FALSE)</f>
        <v>1.0115346427130834</v>
      </c>
      <c r="L49" s="104">
        <f>VLOOKUP(D49,$D$35:$L$38,9,FALSE)</f>
        <v>0.9999164692303023</v>
      </c>
      <c r="M49" s="104">
        <f>VLOOKUP(D49,$D$40:$L$43,9,FALSE)</f>
        <v>1.007204277877089</v>
      </c>
      <c r="N49" s="105"/>
      <c r="O49" s="106">
        <f>IF(SUM(E49:H49)=0,"",SUM(E49:H49)/COUNT(E49:H49))</f>
        <v>1.0003245142985073</v>
      </c>
      <c r="P49" s="106">
        <f>IF(SUM(J49:M49)=0,"",SUM(J49:M49)/COUNT(J49:M49))</f>
        <v>1.0063543648320648</v>
      </c>
      <c r="Q49" s="91">
        <f>IF(AND(O49="",P49=""),"",(P49+O49)/2)</f>
        <v>1.003339439565286</v>
      </c>
    </row>
    <row r="50" spans="4:16" ht="13.5" thickBot="1">
      <c r="D50" s="25"/>
      <c r="E50" s="29"/>
      <c r="F50" s="29"/>
      <c r="G50" s="29"/>
      <c r="H50" s="29"/>
      <c r="J50" s="29"/>
      <c r="K50" s="29"/>
      <c r="L50" s="29"/>
      <c r="M50" s="29"/>
      <c r="O50" s="30"/>
      <c r="P50" s="30"/>
    </row>
    <row r="51" spans="3:17" ht="13.5" thickBot="1">
      <c r="C51" s="107" t="s">
        <v>67</v>
      </c>
      <c r="D51" s="93"/>
      <c r="E51" s="117" t="s">
        <v>65</v>
      </c>
      <c r="F51" s="118"/>
      <c r="G51" s="118"/>
      <c r="H51" s="118"/>
      <c r="I51" s="94"/>
      <c r="J51" s="117" t="s">
        <v>41</v>
      </c>
      <c r="K51" s="118"/>
      <c r="L51" s="118"/>
      <c r="M51" s="118"/>
      <c r="N51" s="95"/>
      <c r="O51" s="94" t="s">
        <v>65</v>
      </c>
      <c r="P51" s="94" t="s">
        <v>41</v>
      </c>
      <c r="Q51" s="96" t="s">
        <v>39</v>
      </c>
    </row>
    <row r="52" spans="3:17" ht="13.5" thickTop="1">
      <c r="C52" s="97">
        <f>IF(Q52="","",RANK(Q52,$Q$52:$Q$55))</f>
        <v>4</v>
      </c>
      <c r="D52" s="42" t="s">
        <v>19</v>
      </c>
      <c r="E52" s="100">
        <f>VLOOKUP(D52,$E$4:$L$7,8,FALSE)</f>
        <v>0.999741659285502</v>
      </c>
      <c r="F52" s="99">
        <f>VLOOKUP(D52,$E$9:$L$12,8,FALSE)</f>
        <v>0.9786286474449815</v>
      </c>
      <c r="G52" s="99">
        <f>VLOOKUP(D52,$E$14:$L$17,8,FALSE)</f>
        <v>1.034810876455081</v>
      </c>
      <c r="H52" s="99">
        <f>VLOOKUP(D52,$E$19:$L$22,8,FALSE)</f>
        <v>0.9759784722026545</v>
      </c>
      <c r="I52" s="41"/>
      <c r="J52" s="100">
        <f>VLOOKUP(D52,$E$25:$L$28,8,FALSE)</f>
        <v>0.9677419354838714</v>
      </c>
      <c r="K52" s="99">
        <f>VLOOKUP(D52,$E$30:$L$33,8,FALSE)</f>
        <v>1.0136733932402615</v>
      </c>
      <c r="L52" s="99">
        <f>VLOOKUP(D52,$E$35:$L$38,8,FALSE)</f>
        <v>0.9999164692303023</v>
      </c>
      <c r="M52" s="99">
        <f>VLOOKUP(D52,$E$40:$L$43,8,FALSE)</f>
        <v>0.9872439731738278</v>
      </c>
      <c r="N52" s="58"/>
      <c r="O52" s="101">
        <f>IF(SUM(E52:H52)=0,"",SUM(E52:H52)/COUNT(E52:H52))</f>
        <v>0.9972899138470548</v>
      </c>
      <c r="P52" s="101">
        <f>IF(SUM(J52:M52)=0,"",SUM(J52:M52)/COUNT(J52:M52))</f>
        <v>0.9921439427820657</v>
      </c>
      <c r="Q52" s="48">
        <f>IF(AND(O52="",P52=""),"",(P52+O52)/2)</f>
        <v>0.9947169283145603</v>
      </c>
    </row>
    <row r="53" spans="3:17" ht="12.75">
      <c r="C53" s="97">
        <f>IF(Q53="","",RANK(Q53,$Q$52:$Q$55))</f>
        <v>3</v>
      </c>
      <c r="D53" s="42" t="s">
        <v>16</v>
      </c>
      <c r="E53" s="100">
        <f>VLOOKUP(D53,$E$4:$L$7,8,FALSE)</f>
        <v>0.9712103829054926</v>
      </c>
      <c r="F53" s="99">
        <f>VLOOKUP(D53,$E$9:$L$12,8,FALSE)</f>
        <v>1.0367647058823528</v>
      </c>
      <c r="G53" s="99">
        <f>VLOOKUP(D53,$E$14:$L$17,8,FALSE)</f>
        <v>0.9952780468349386</v>
      </c>
      <c r="H53" s="99">
        <f>VLOOKUP(D53,$E$19:$L$22,8,FALSE)</f>
        <v>0.9928196749505545</v>
      </c>
      <c r="I53" s="41"/>
      <c r="J53" s="100">
        <f>VLOOKUP(D53,$E$25:$L$28,8,FALSE)</f>
        <v>1.0073006482472144</v>
      </c>
      <c r="K53" s="99">
        <f>VLOOKUP(D53,$E$30:$L$33,8,FALSE)</f>
        <v>0.9719091911874307</v>
      </c>
      <c r="L53" s="99">
        <f>VLOOKUP(D53,$E$35:$L$38,8,FALSE)</f>
        <v>1.0205620659722203</v>
      </c>
      <c r="M53" s="99">
        <f>VLOOKUP(D53,$E$40:$L$43,8,FALSE)</f>
        <v>1.007204277877089</v>
      </c>
      <c r="N53" s="58"/>
      <c r="O53" s="101">
        <f>IF(SUM(E53:H53)=0,"",SUM(E53:H53)/COUNT(E53:H53))</f>
        <v>0.9990182026433346</v>
      </c>
      <c r="P53" s="101">
        <f>IF(SUM(J53:M53)=0,"",SUM(J53:M53)/COUNT(J53:M53))</f>
        <v>1.0017440458209887</v>
      </c>
      <c r="Q53" s="48">
        <f>IF(AND(O53="",P53=""),"",(P53+O53)/2)</f>
        <v>1.0003811242321616</v>
      </c>
    </row>
    <row r="54" spans="3:17" ht="12.75">
      <c r="C54" s="97">
        <f>IF(Q54="","",RANK(Q54,$Q$52:$Q$55))</f>
        <v>2</v>
      </c>
      <c r="D54" s="42" t="s">
        <v>17</v>
      </c>
      <c r="E54" s="100">
        <f>VLOOKUP(D54,$E$4:$L$7,8,FALSE)</f>
        <v>1.0315060773144071</v>
      </c>
      <c r="F54" s="99">
        <f>VLOOKUP(D54,$E$9:$L$12,8,FALSE)</f>
        <v>0.9793366903976385</v>
      </c>
      <c r="G54" s="99">
        <f>VLOOKUP(D54,$E$14:$L$17,8,FALSE)</f>
        <v>1.004405887933761</v>
      </c>
      <c r="H54" s="99">
        <f>VLOOKUP(D54,$E$19:$L$22,8,FALSE)</f>
        <v>0.9987456747404844</v>
      </c>
      <c r="I54" s="41"/>
      <c r="J54" s="100">
        <f>VLOOKUP(D54,$E$25:$L$28,8,FALSE)</f>
        <v>1.006762069507784</v>
      </c>
      <c r="K54" s="99">
        <f>VLOOKUP(D54,$E$30:$L$33,8,FALSE)</f>
        <v>1.004026793963659</v>
      </c>
      <c r="L54" s="99">
        <f>VLOOKUP(D54,$E$35:$L$38,8,FALSE)</f>
        <v>0.9794189402278997</v>
      </c>
      <c r="M54" s="99">
        <f>VLOOKUP(D54,$E$40:$L$43,8,FALSE)</f>
        <v>1.0200945810962654</v>
      </c>
      <c r="N54" s="58"/>
      <c r="O54" s="101">
        <f>IF(SUM(E54:H54)=0,"",SUM(E54:H54)/COUNT(E54:H54))</f>
        <v>1.0034985825965728</v>
      </c>
      <c r="P54" s="101">
        <f>IF(SUM(J54:M54)=0,"",SUM(J54:M54)/COUNT(J54:M54))</f>
        <v>1.002575596198902</v>
      </c>
      <c r="Q54" s="48">
        <f>IF(AND(O54="",P54=""),"",(P54+O54)/2)</f>
        <v>1.0030370893977374</v>
      </c>
    </row>
    <row r="55" spans="3:17" ht="13.5" thickBot="1">
      <c r="C55" s="102">
        <f>IF(Q55="","",RANK(Q55,$Q$52:$Q$55))</f>
        <v>1</v>
      </c>
      <c r="D55" s="85" t="s">
        <v>18</v>
      </c>
      <c r="E55" s="103">
        <f>VLOOKUP(D55,$E$4:$L$7,8,FALSE)</f>
        <v>0.9993580851754572</v>
      </c>
      <c r="F55" s="104">
        <f>VLOOKUP(D55,$E$9:$L$12,8,FALSE)</f>
        <v>1.007532676333105</v>
      </c>
      <c r="G55" s="104">
        <f>VLOOKUP(D55,$E$14:$L$17,8,FALSE)</f>
        <v>0.9677899664810656</v>
      </c>
      <c r="H55" s="104">
        <f>VLOOKUP(D55,$E$19:$L$22,8,FALSE)</f>
        <v>1.0342340997312627</v>
      </c>
      <c r="I55" s="84"/>
      <c r="J55" s="103">
        <f>VLOOKUP(D55,$E$25:$L$28,8,FALSE)</f>
        <v>1.0197515132207713</v>
      </c>
      <c r="K55" s="104">
        <f>VLOOKUP(D55,$E$30:$L$33,8,FALSE)</f>
        <v>1.0115346427130834</v>
      </c>
      <c r="L55" s="104">
        <f>VLOOKUP(D55,$E$35:$L$38,8,FALSE)</f>
        <v>1.0009501945998576</v>
      </c>
      <c r="M55" s="104">
        <f>VLOOKUP(D55,$E$40:$L$43,8,FALSE)</f>
        <v>0.9862607514712526</v>
      </c>
      <c r="N55" s="105"/>
      <c r="O55" s="106">
        <f>IF(SUM(E55:H55)=0,"",SUM(E55:H55)/COUNT(E55:H55))</f>
        <v>1.0022287069302227</v>
      </c>
      <c r="P55" s="106">
        <f>IF(SUM(J55:M55)=0,"",SUM(J55:M55)/COUNT(J55:M55))</f>
        <v>1.0046242755012413</v>
      </c>
      <c r="Q55" s="91">
        <f>IF(AND(O55="",P55=""),"",(P55+O55)/2)</f>
        <v>1.003426491215732</v>
      </c>
    </row>
  </sheetData>
  <sheetProtection/>
  <mergeCells count="8">
    <mergeCell ref="B4:B22"/>
    <mergeCell ref="B25:B43"/>
    <mergeCell ref="D2:E2"/>
    <mergeCell ref="F2:H2"/>
    <mergeCell ref="E45:H45"/>
    <mergeCell ref="J45:M45"/>
    <mergeCell ref="E51:H51"/>
    <mergeCell ref="J51:M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="85" zoomScaleNormal="85" zoomScalePageLayoutView="0" workbookViewId="0" topLeftCell="A23">
      <selection activeCell="N46" sqref="N46"/>
    </sheetView>
  </sheetViews>
  <sheetFormatPr defaultColWidth="9.140625" defaultRowHeight="12.75"/>
  <cols>
    <col min="1" max="1" width="1.7109375" style="0" customWidth="1"/>
    <col min="2" max="8" width="9.7109375" style="0" customWidth="1"/>
    <col min="9" max="9" width="10.421875" style="0" customWidth="1"/>
    <col min="10" max="10" width="10.28125" style="0" customWidth="1"/>
    <col min="11" max="11" width="9.7109375" style="0" customWidth="1"/>
    <col min="12" max="12" width="1.7109375" style="0" customWidth="1"/>
  </cols>
  <sheetData>
    <row r="1" spans="1:12" s="1" customFormat="1" ht="34.5" customHeight="1">
      <c r="A1" s="14" t="s">
        <v>46</v>
      </c>
      <c r="B1" s="6"/>
      <c r="C1" s="6"/>
      <c r="D1" s="6"/>
      <c r="E1" s="6"/>
      <c r="F1" s="7"/>
      <c r="G1" s="7"/>
      <c r="H1" s="7"/>
      <c r="I1" s="7"/>
      <c r="J1" s="7"/>
      <c r="K1" s="7"/>
      <c r="L1" s="7"/>
    </row>
    <row r="2" spans="1:12" s="1" customFormat="1" ht="12.75" customHeight="1">
      <c r="A2" s="7"/>
      <c r="B2" s="6"/>
      <c r="C2" s="6"/>
      <c r="D2" s="6"/>
      <c r="E2" s="6"/>
      <c r="F2" s="7"/>
      <c r="G2" s="7"/>
      <c r="H2" s="7"/>
      <c r="I2" s="7"/>
      <c r="J2" s="7"/>
      <c r="K2" s="7"/>
      <c r="L2" s="7"/>
    </row>
    <row r="3" spans="1:12" s="1" customFormat="1" ht="12.75" customHeight="1">
      <c r="A3" s="7"/>
      <c r="B3" s="13"/>
      <c r="C3" s="13"/>
      <c r="D3" s="13"/>
      <c r="E3" s="13"/>
      <c r="F3" s="8"/>
      <c r="G3" s="8"/>
      <c r="H3" s="8"/>
      <c r="I3" s="8"/>
      <c r="J3" s="8"/>
      <c r="K3" s="8"/>
      <c r="L3" s="7"/>
    </row>
    <row r="4" spans="1:12" ht="12.75">
      <c r="A4" s="9"/>
      <c r="B4" s="5" t="s">
        <v>0</v>
      </c>
      <c r="C4" s="3" t="s">
        <v>1</v>
      </c>
      <c r="D4" s="3" t="s">
        <v>3</v>
      </c>
      <c r="E4" s="3" t="s">
        <v>2</v>
      </c>
      <c r="F4" s="3" t="s">
        <v>4</v>
      </c>
      <c r="G4" s="3" t="s">
        <v>3</v>
      </c>
      <c r="H4" s="15" t="s">
        <v>56</v>
      </c>
      <c r="I4" s="3"/>
      <c r="L4" s="9"/>
    </row>
    <row r="5" spans="1:12" ht="12.75">
      <c r="A5" s="9"/>
      <c r="B5" s="5">
        <v>1</v>
      </c>
      <c r="C5" s="4">
        <v>0.021962731481481482</v>
      </c>
      <c r="D5" s="4">
        <v>0.02383101851851852</v>
      </c>
      <c r="E5" s="4">
        <v>0.025762152777777773</v>
      </c>
      <c r="F5" s="4">
        <f aca="true" t="shared" si="0" ref="F5:F36">E5-C5</f>
        <v>0.0037994212962962903</v>
      </c>
      <c r="G5" s="4">
        <f>D5-C5</f>
        <v>0.0018682870370370364</v>
      </c>
      <c r="H5" s="5">
        <f>F38/F5</f>
        <v>1.0454351600816416</v>
      </c>
      <c r="I5" s="5"/>
      <c r="L5" s="9"/>
    </row>
    <row r="6" spans="1:12" ht="12.75">
      <c r="A6" s="9"/>
      <c r="B6" s="5">
        <v>2</v>
      </c>
      <c r="C6" s="4">
        <v>0.022366666666666663</v>
      </c>
      <c r="D6" s="4">
        <v>0.024311689814814814</v>
      </c>
      <c r="E6" s="4">
        <v>0.026286805555555556</v>
      </c>
      <c r="F6" s="4">
        <f t="shared" si="0"/>
        <v>0.003920138888888893</v>
      </c>
      <c r="G6" s="4">
        <f aca="true" t="shared" si="1" ref="G6:G36">D6-C6</f>
        <v>0.0019450231481481506</v>
      </c>
      <c r="H6" s="5">
        <f>F38/F6</f>
        <v>1.0132418069087674</v>
      </c>
      <c r="I6" s="5"/>
      <c r="L6" s="9"/>
    </row>
    <row r="7" spans="1:12" ht="12.75">
      <c r="A7" s="9"/>
      <c r="B7" s="5">
        <v>3</v>
      </c>
      <c r="C7" s="4">
        <v>0.02275613425925926</v>
      </c>
      <c r="D7" s="4">
        <v>0.024756018518518514</v>
      </c>
      <c r="E7" s="4">
        <v>0.026791435185185185</v>
      </c>
      <c r="F7" s="4">
        <f t="shared" si="0"/>
        <v>0.004035300925925925</v>
      </c>
      <c r="G7" s="4">
        <f t="shared" si="1"/>
        <v>0.0019998842592592533</v>
      </c>
      <c r="H7" s="5">
        <f>F38/F7</f>
        <v>0.984325254553277</v>
      </c>
      <c r="I7" s="5"/>
      <c r="L7" s="9"/>
    </row>
    <row r="8" spans="1:12" ht="12.75">
      <c r="A8" s="9"/>
      <c r="B8" s="5">
        <v>4</v>
      </c>
      <c r="C8" s="4">
        <v>0.02317962962962963</v>
      </c>
      <c r="D8" s="4">
        <v>0.025136805555555558</v>
      </c>
      <c r="E8" s="4">
        <v>0.027101273148148145</v>
      </c>
      <c r="F8" s="4">
        <f t="shared" si="0"/>
        <v>0.003921643518518515</v>
      </c>
      <c r="G8" s="4">
        <f t="shared" si="1"/>
        <v>0.001957175925925928</v>
      </c>
      <c r="H8" s="5">
        <f>F38/F8</f>
        <v>1.0128530531534994</v>
      </c>
      <c r="I8" s="5"/>
      <c r="J8" s="15" t="s">
        <v>44</v>
      </c>
      <c r="K8" s="5"/>
      <c r="L8" s="9"/>
    </row>
    <row r="9" spans="1:12" ht="12.75">
      <c r="A9" s="9"/>
      <c r="B9" s="5">
        <v>5</v>
      </c>
      <c r="C9" s="4">
        <v>0.006644444444444445</v>
      </c>
      <c r="D9" s="4">
        <v>0.008594791666666667</v>
      </c>
      <c r="E9" s="4">
        <v>0.010531828703703705</v>
      </c>
      <c r="F9" s="4">
        <f t="shared" si="0"/>
        <v>0.0038873842592592597</v>
      </c>
      <c r="G9" s="4">
        <f t="shared" si="1"/>
        <v>0.0019503472222222222</v>
      </c>
      <c r="H9" s="5">
        <f>F38/F9</f>
        <v>1.021779259832673</v>
      </c>
      <c r="I9" s="5"/>
      <c r="J9" s="5" t="s">
        <v>5</v>
      </c>
      <c r="K9" s="5">
        <f>AVERAGE(H5:H8)</f>
        <v>1.0139638186742963</v>
      </c>
      <c r="L9" s="9"/>
    </row>
    <row r="10" spans="1:12" ht="12.75">
      <c r="A10" s="9"/>
      <c r="B10" s="5">
        <v>6</v>
      </c>
      <c r="C10" s="4">
        <v>0.006973263888888889</v>
      </c>
      <c r="D10" s="4">
        <v>0.008860300925925926</v>
      </c>
      <c r="E10" s="4">
        <v>0.010751041666666667</v>
      </c>
      <c r="F10" s="4">
        <f t="shared" si="0"/>
        <v>0.0037777777777777783</v>
      </c>
      <c r="G10" s="4">
        <f t="shared" si="1"/>
        <v>0.001887037037037037</v>
      </c>
      <c r="H10" s="5">
        <f>F38/F10</f>
        <v>1.0514246323529408</v>
      </c>
      <c r="I10" s="5"/>
      <c r="J10" s="5" t="s">
        <v>28</v>
      </c>
      <c r="K10" s="5">
        <f>AVERAGE(H9:H12)</f>
        <v>1.0147137496920293</v>
      </c>
      <c r="L10" s="9"/>
    </row>
    <row r="11" spans="1:12" ht="12.75">
      <c r="A11" s="9"/>
      <c r="B11" s="5">
        <v>7</v>
      </c>
      <c r="C11" s="4">
        <v>0.007350578703703704</v>
      </c>
      <c r="D11" s="4">
        <v>0.009375925925925925</v>
      </c>
      <c r="E11" s="4">
        <v>0.011352777777777776</v>
      </c>
      <c r="F11" s="4">
        <f t="shared" si="0"/>
        <v>0.004002199074074072</v>
      </c>
      <c r="G11" s="4">
        <f t="shared" si="1"/>
        <v>0.002025347222222221</v>
      </c>
      <c r="H11" s="5">
        <f>F38/F11</f>
        <v>0.9924665259261404</v>
      </c>
      <c r="I11" s="5"/>
      <c r="J11" s="5" t="s">
        <v>29</v>
      </c>
      <c r="K11" s="5">
        <f>AVERAGE(H13:H16)</f>
        <v>0.9828788875713889</v>
      </c>
      <c r="L11" s="9"/>
    </row>
    <row r="12" spans="1:12" ht="12.75">
      <c r="A12" s="9"/>
      <c r="B12" s="5">
        <v>8</v>
      </c>
      <c r="C12" s="4">
        <v>0.0076413194444444445</v>
      </c>
      <c r="D12" s="4">
        <v>0.009654861111111112</v>
      </c>
      <c r="E12" s="4">
        <v>0.011640625</v>
      </c>
      <c r="F12" s="4">
        <f t="shared" si="0"/>
        <v>0.003999305555555555</v>
      </c>
      <c r="G12" s="4">
        <f t="shared" si="1"/>
        <v>0.002013541666666668</v>
      </c>
      <c r="H12" s="5">
        <f>F38/F12</f>
        <v>0.9931845806563637</v>
      </c>
      <c r="I12" s="5"/>
      <c r="J12" s="5" t="s">
        <v>30</v>
      </c>
      <c r="K12" s="5">
        <f>AVERAGE(H17:H20)</f>
        <v>0.9912593333859228</v>
      </c>
      <c r="L12" s="9"/>
    </row>
    <row r="13" spans="1:12" ht="12.75">
      <c r="A13" s="9"/>
      <c r="B13" s="5">
        <v>9</v>
      </c>
      <c r="C13" s="4">
        <v>0.03094849537037037</v>
      </c>
      <c r="D13" s="4">
        <v>0.033034375</v>
      </c>
      <c r="E13" s="4">
        <v>0.03512662037037037</v>
      </c>
      <c r="F13" s="4">
        <f t="shared" si="0"/>
        <v>0.004178125000000001</v>
      </c>
      <c r="G13" s="4">
        <f t="shared" si="1"/>
        <v>0.0020858796296296285</v>
      </c>
      <c r="H13" s="5">
        <f>F38/F13</f>
        <v>0.9506773040804449</v>
      </c>
      <c r="I13" s="5"/>
      <c r="J13" s="5" t="s">
        <v>24</v>
      </c>
      <c r="K13" s="5">
        <f>AVERAGE(H21:H24)</f>
        <v>1.0173415105546477</v>
      </c>
      <c r="L13" s="9"/>
    </row>
    <row r="14" spans="1:12" ht="12.75">
      <c r="A14" s="9"/>
      <c r="B14" s="5">
        <v>10</v>
      </c>
      <c r="C14" s="4">
        <v>0.03129652777777778</v>
      </c>
      <c r="D14" s="4">
        <v>0.033295717592592596</v>
      </c>
      <c r="E14" s="4">
        <v>0.03532233796296296</v>
      </c>
      <c r="F14" s="4">
        <f t="shared" si="0"/>
        <v>0.004025810185185184</v>
      </c>
      <c r="G14" s="4">
        <f t="shared" si="1"/>
        <v>0.0019991898148148182</v>
      </c>
      <c r="H14" s="5">
        <f>F38/F14</f>
        <v>0.9866457752350286</v>
      </c>
      <c r="I14" s="5"/>
      <c r="J14" s="5" t="s">
        <v>25</v>
      </c>
      <c r="K14" s="5">
        <f>AVERAGE(H25:H28)</f>
        <v>0.9988036369983875</v>
      </c>
      <c r="L14" s="9"/>
    </row>
    <row r="15" spans="1:12" ht="12.75">
      <c r="A15" s="9"/>
      <c r="B15" s="5">
        <v>11</v>
      </c>
      <c r="C15" s="4">
        <v>0.031660069444444446</v>
      </c>
      <c r="D15" s="4">
        <v>0.03359444444444444</v>
      </c>
      <c r="E15" s="4">
        <v>0.035567592592592595</v>
      </c>
      <c r="F15" s="4">
        <f t="shared" si="0"/>
        <v>0.0039075231481481495</v>
      </c>
      <c r="G15" s="4">
        <f t="shared" si="1"/>
        <v>0.0019343749999999951</v>
      </c>
      <c r="H15" s="5">
        <f>F38/F15</f>
        <v>1.0165131364592275</v>
      </c>
      <c r="I15" s="5"/>
      <c r="J15" s="5" t="s">
        <v>26</v>
      </c>
      <c r="K15" s="5">
        <f>AVERAGE(H29:H32)</f>
        <v>0.9890667597658007</v>
      </c>
      <c r="L15" s="9"/>
    </row>
    <row r="16" spans="1:12" ht="12.75">
      <c r="A16" s="9"/>
      <c r="B16" s="5">
        <v>12</v>
      </c>
      <c r="C16" s="4">
        <v>0.031987615740740744</v>
      </c>
      <c r="D16" s="4">
        <v>0.034014120370370375</v>
      </c>
      <c r="E16" s="4">
        <v>0.03605034722222222</v>
      </c>
      <c r="F16" s="4">
        <f t="shared" si="0"/>
        <v>0.00406273148148148</v>
      </c>
      <c r="G16" s="4">
        <f t="shared" si="1"/>
        <v>0.0020265046296296316</v>
      </c>
      <c r="H16" s="5">
        <f>F38/F16</f>
        <v>0.9776793345108543</v>
      </c>
      <c r="I16" s="5"/>
      <c r="J16" s="5" t="s">
        <v>27</v>
      </c>
      <c r="K16" s="5">
        <f>AVERAGE(H33:H36)</f>
        <v>0.9963043521256671</v>
      </c>
      <c r="L16" s="9"/>
    </row>
    <row r="17" spans="1:12" ht="12.75">
      <c r="A17" s="9"/>
      <c r="B17" s="5">
        <v>13</v>
      </c>
      <c r="C17" s="4">
        <v>0.013311921296296296</v>
      </c>
      <c r="D17" s="4">
        <v>0.01533773148148148</v>
      </c>
      <c r="E17" s="4">
        <v>0.017349768518518518</v>
      </c>
      <c r="F17" s="4">
        <f t="shared" si="0"/>
        <v>0.004037847222222222</v>
      </c>
      <c r="G17" s="4">
        <f t="shared" si="1"/>
        <v>0.0020258101851851843</v>
      </c>
      <c r="H17" s="5">
        <f>F38/F17</f>
        <v>0.9837045317740131</v>
      </c>
      <c r="I17" s="5"/>
      <c r="J17" s="5"/>
      <c r="K17" s="5"/>
      <c r="L17" s="9"/>
    </row>
    <row r="18" spans="1:12" ht="12.75">
      <c r="A18" s="9"/>
      <c r="B18" s="5">
        <v>14</v>
      </c>
      <c r="C18" s="4">
        <v>0.013546296296296298</v>
      </c>
      <c r="D18" s="4">
        <v>0.015607638888888891</v>
      </c>
      <c r="E18" s="4">
        <v>0.017653819444444444</v>
      </c>
      <c r="F18" s="4">
        <f t="shared" si="0"/>
        <v>0.004107523148148147</v>
      </c>
      <c r="G18" s="4">
        <f t="shared" si="1"/>
        <v>0.0020613425925925938</v>
      </c>
      <c r="H18" s="5">
        <f>F38/F18</f>
        <v>0.9670179492237033</v>
      </c>
      <c r="I18" s="5"/>
      <c r="J18" s="5"/>
      <c r="K18" s="5"/>
      <c r="L18" s="9"/>
    </row>
    <row r="19" spans="1:12" ht="12.75">
      <c r="A19" s="9"/>
      <c r="B19" s="5">
        <v>15</v>
      </c>
      <c r="C19" s="4">
        <v>0.01392013888888889</v>
      </c>
      <c r="D19" s="4">
        <v>0.015914351851851853</v>
      </c>
      <c r="E19" s="4">
        <v>0.017934027777777778</v>
      </c>
      <c r="F19" s="4">
        <f t="shared" si="0"/>
        <v>0.004013888888888888</v>
      </c>
      <c r="G19" s="4">
        <f t="shared" si="1"/>
        <v>0.0019942129629629633</v>
      </c>
      <c r="H19" s="5">
        <f>F38/F19</f>
        <v>0.989576124567474</v>
      </c>
      <c r="I19" s="5"/>
      <c r="J19" s="5"/>
      <c r="K19" s="5"/>
      <c r="L19" s="9"/>
    </row>
    <row r="20" spans="1:12" ht="12.75">
      <c r="A20" s="9"/>
      <c r="B20" s="5">
        <v>16</v>
      </c>
      <c r="C20" s="4">
        <v>0.014296759259259259</v>
      </c>
      <c r="D20" s="4">
        <v>0.01622685185185185</v>
      </c>
      <c r="E20" s="4">
        <v>0.018172916666666667</v>
      </c>
      <c r="F20" s="4">
        <f t="shared" si="0"/>
        <v>0.003876157407407408</v>
      </c>
      <c r="G20" s="4">
        <f t="shared" si="1"/>
        <v>0.0019300925925925909</v>
      </c>
      <c r="H20" s="5">
        <f>F38/F20</f>
        <v>1.0247387279785007</v>
      </c>
      <c r="I20" s="5"/>
      <c r="J20" s="5"/>
      <c r="K20" s="5"/>
      <c r="L20" s="9"/>
    </row>
    <row r="21" spans="1:12" ht="12.75">
      <c r="A21" s="9"/>
      <c r="B21" s="5">
        <v>17</v>
      </c>
      <c r="C21" s="16">
        <v>0.017295949074074075</v>
      </c>
      <c r="D21" s="16">
        <v>0.019133680555555557</v>
      </c>
      <c r="E21" s="16">
        <v>0.020973958333333334</v>
      </c>
      <c r="F21" s="4">
        <f t="shared" si="0"/>
        <v>0.0036780092592592593</v>
      </c>
      <c r="G21" s="18">
        <f t="shared" si="1"/>
        <v>0.0018377314814814819</v>
      </c>
      <c r="H21" s="5">
        <f>F39/F21</f>
        <v>1.024370240417899</v>
      </c>
      <c r="I21" s="5"/>
      <c r="J21" s="5"/>
      <c r="K21" s="5"/>
      <c r="L21" s="9"/>
    </row>
    <row r="22" spans="1:12" ht="12.75">
      <c r="A22" s="9"/>
      <c r="B22" s="5">
        <v>18</v>
      </c>
      <c r="C22" s="16">
        <v>0.017681481481481482</v>
      </c>
      <c r="D22" s="16">
        <v>0.019516203703703702</v>
      </c>
      <c r="E22" s="16">
        <v>0.021361458333333333</v>
      </c>
      <c r="F22" s="4">
        <f t="shared" si="0"/>
        <v>0.003679976851851851</v>
      </c>
      <c r="G22" s="18">
        <f t="shared" si="1"/>
        <v>0.0018347222222222202</v>
      </c>
      <c r="H22" s="5">
        <f>F39/F22</f>
        <v>1.0238225349897783</v>
      </c>
      <c r="I22" s="5"/>
      <c r="J22" s="3" t="s">
        <v>33</v>
      </c>
      <c r="K22" s="5"/>
      <c r="L22" s="9"/>
    </row>
    <row r="23" spans="1:12" ht="12.75">
      <c r="A23" s="9"/>
      <c r="B23" s="5">
        <v>19</v>
      </c>
      <c r="C23" s="16">
        <v>0.01788402777777778</v>
      </c>
      <c r="D23" s="16">
        <v>0.019794444444444444</v>
      </c>
      <c r="E23" s="16">
        <v>0.021712384259259258</v>
      </c>
      <c r="F23" s="4">
        <f t="shared" si="0"/>
        <v>0.0038283564814814777</v>
      </c>
      <c r="G23" s="18">
        <f t="shared" si="1"/>
        <v>0.0019104166666666644</v>
      </c>
      <c r="H23" s="5">
        <f>F39/F23</f>
        <v>0.9841411706019296</v>
      </c>
      <c r="I23" s="5"/>
      <c r="J23" s="5" t="s">
        <v>5</v>
      </c>
      <c r="K23" s="4">
        <v>0.003919097222222222</v>
      </c>
      <c r="L23" s="9"/>
    </row>
    <row r="24" spans="1:12" ht="12.75">
      <c r="A24" s="9"/>
      <c r="B24" s="5">
        <v>20</v>
      </c>
      <c r="C24" s="16">
        <v>0.01819988425925926</v>
      </c>
      <c r="D24" s="16">
        <v>0.020006944444444442</v>
      </c>
      <c r="E24" s="16">
        <v>0.02183298611111111</v>
      </c>
      <c r="F24" s="4">
        <f t="shared" si="0"/>
        <v>0.003633101851851849</v>
      </c>
      <c r="G24" s="18">
        <f t="shared" si="1"/>
        <v>0.0018070601851851824</v>
      </c>
      <c r="H24" s="5">
        <f>F39/F24</f>
        <v>1.0370320962089843</v>
      </c>
      <c r="I24" s="5"/>
      <c r="J24" s="5" t="s">
        <v>28</v>
      </c>
      <c r="K24" s="4">
        <v>0.003916435185185185</v>
      </c>
      <c r="L24" s="9"/>
    </row>
    <row r="25" spans="1:12" ht="12.75">
      <c r="A25" s="9"/>
      <c r="B25" s="5">
        <v>21</v>
      </c>
      <c r="C25" s="16">
        <v>0.04219027777777778</v>
      </c>
      <c r="D25" s="16">
        <v>0.044062500000000004</v>
      </c>
      <c r="E25" s="16">
        <v>0.04594837962962963</v>
      </c>
      <c r="F25" s="4">
        <f t="shared" si="0"/>
        <v>0.0037581018518518527</v>
      </c>
      <c r="G25" s="18">
        <f t="shared" si="1"/>
        <v>0.0018722222222222265</v>
      </c>
      <c r="H25" s="5">
        <f>F39/F25</f>
        <v>1.002538882044964</v>
      </c>
      <c r="I25" s="5"/>
      <c r="J25" s="5" t="s">
        <v>29</v>
      </c>
      <c r="K25" s="4">
        <v>0.004043518518518518</v>
      </c>
      <c r="L25" s="9"/>
    </row>
    <row r="26" spans="1:12" ht="12.75">
      <c r="A26" s="9"/>
      <c r="B26" s="5">
        <v>22</v>
      </c>
      <c r="C26" s="16">
        <v>0.042511458333333335</v>
      </c>
      <c r="D26" s="16">
        <v>0.044452546296296296</v>
      </c>
      <c r="E26" s="16">
        <v>0.046393750000000004</v>
      </c>
      <c r="F26" s="4">
        <f t="shared" si="0"/>
        <v>0.0038822916666666693</v>
      </c>
      <c r="G26" s="18">
        <f t="shared" si="1"/>
        <v>0.0019410879629629604</v>
      </c>
      <c r="H26" s="5">
        <f>F39/F26</f>
        <v>0.9704688757713971</v>
      </c>
      <c r="I26" s="5"/>
      <c r="J26" s="5" t="s">
        <v>30</v>
      </c>
      <c r="K26" s="4">
        <v>0.004008680555555555</v>
      </c>
      <c r="L26" s="9"/>
    </row>
    <row r="27" spans="1:12" ht="12.75">
      <c r="A27" s="9"/>
      <c r="B27" s="5">
        <v>23</v>
      </c>
      <c r="C27" s="16">
        <v>0.042852893518518516</v>
      </c>
      <c r="D27" s="16">
        <v>0.04470393518518518</v>
      </c>
      <c r="E27" s="16">
        <v>0.046583101851851855</v>
      </c>
      <c r="F27" s="4">
        <f t="shared" si="0"/>
        <v>0.003730208333333339</v>
      </c>
      <c r="G27" s="18">
        <f t="shared" si="1"/>
        <v>0.001851041666666664</v>
      </c>
      <c r="H27" s="5">
        <f>F39/F27</f>
        <v>1.0100356045797245</v>
      </c>
      <c r="I27" s="5"/>
      <c r="J27" s="5" t="s">
        <v>24</v>
      </c>
      <c r="K27" s="4">
        <f>SUM(F21:F24)/4</f>
        <v>0.0037048611111111093</v>
      </c>
      <c r="L27" s="9"/>
    </row>
    <row r="28" spans="1:12" ht="12.75">
      <c r="A28" s="9"/>
      <c r="B28" s="5">
        <v>24</v>
      </c>
      <c r="C28" s="16">
        <v>0.04314675925925926</v>
      </c>
      <c r="D28" s="16">
        <v>0.044982060185185184</v>
      </c>
      <c r="E28" s="16">
        <v>0.04686909722222222</v>
      </c>
      <c r="F28" s="4">
        <f t="shared" si="0"/>
        <v>0.0037223379629629585</v>
      </c>
      <c r="G28" s="18">
        <f t="shared" si="1"/>
        <v>0.0018353009259259243</v>
      </c>
      <c r="H28" s="5">
        <f>F39/F28</f>
        <v>1.0121711855974638</v>
      </c>
      <c r="I28" s="5"/>
      <c r="J28" s="5" t="s">
        <v>25</v>
      </c>
      <c r="K28" s="4">
        <f>SUM(F25:F28)/4</f>
        <v>0.003773234953703705</v>
      </c>
      <c r="L28" s="9"/>
    </row>
    <row r="29" spans="1:12" ht="12.75">
      <c r="A29" s="9"/>
      <c r="B29" s="5">
        <v>25</v>
      </c>
      <c r="C29" s="16">
        <v>0.07057361111111111</v>
      </c>
      <c r="D29" s="16">
        <v>0.07247430555555555</v>
      </c>
      <c r="E29" s="16">
        <v>0.07438402777777778</v>
      </c>
      <c r="F29" s="4">
        <f t="shared" si="0"/>
        <v>0.0038104166666666633</v>
      </c>
      <c r="G29" s="18">
        <f t="shared" si="1"/>
        <v>0.001900694444444434</v>
      </c>
      <c r="H29" s="5">
        <f>F39/F29</f>
        <v>0.9887746036085299</v>
      </c>
      <c r="I29" s="5"/>
      <c r="J29" s="5" t="s">
        <v>26</v>
      </c>
      <c r="K29" s="4">
        <f>SUM(F29:F32)/4</f>
        <v>0.0038100983796296277</v>
      </c>
      <c r="L29" s="11"/>
    </row>
    <row r="30" spans="1:12" ht="12.75">
      <c r="A30" s="9"/>
      <c r="B30" s="5">
        <v>26</v>
      </c>
      <c r="C30" s="16">
        <v>0.07088807870370371</v>
      </c>
      <c r="D30" s="16">
        <v>0.07280046296296296</v>
      </c>
      <c r="E30" s="16">
        <v>0.07469456018518518</v>
      </c>
      <c r="F30" s="4">
        <f t="shared" si="0"/>
        <v>0.0038064814814814663</v>
      </c>
      <c r="G30" s="18">
        <f t="shared" si="1"/>
        <v>0.0019123842592592422</v>
      </c>
      <c r="H30" s="5">
        <f>F39/F30</f>
        <v>0.9897968103867709</v>
      </c>
      <c r="I30" s="5"/>
      <c r="J30" s="5" t="s">
        <v>27</v>
      </c>
      <c r="K30" s="4">
        <f>SUM(F33:F36)/4</f>
        <v>0.0037823784722222226</v>
      </c>
      <c r="L30" s="11"/>
    </row>
    <row r="31" spans="1:12" ht="12.75">
      <c r="A31" s="9"/>
      <c r="B31" s="5">
        <v>27</v>
      </c>
      <c r="C31" s="16">
        <v>0.07124293981481482</v>
      </c>
      <c r="D31" s="16">
        <v>0.0731105324074074</v>
      </c>
      <c r="E31" s="16">
        <v>0.07497627314814816</v>
      </c>
      <c r="F31" s="4">
        <f t="shared" si="0"/>
        <v>0.0037333333333333385</v>
      </c>
      <c r="G31" s="18">
        <f t="shared" si="1"/>
        <v>0.0018675925925925874</v>
      </c>
      <c r="H31" s="5">
        <f>F39/F31</f>
        <v>1.0091901506696412</v>
      </c>
      <c r="I31" s="5"/>
      <c r="L31" s="11"/>
    </row>
    <row r="32" spans="1:12" ht="12.75">
      <c r="A32" s="9"/>
      <c r="B32" s="5">
        <v>28</v>
      </c>
      <c r="C32" s="16">
        <v>0.0716369212962963</v>
      </c>
      <c r="D32" s="16">
        <v>0.07358460648148148</v>
      </c>
      <c r="E32" s="16">
        <v>0.07552708333333334</v>
      </c>
      <c r="F32" s="4">
        <f t="shared" si="0"/>
        <v>0.0038901620370370427</v>
      </c>
      <c r="G32" s="18">
        <f t="shared" si="1"/>
        <v>0.0019476851851851773</v>
      </c>
      <c r="H32" s="5">
        <f>F39/F32</f>
        <v>0.9685054743982608</v>
      </c>
      <c r="I32" s="5"/>
      <c r="L32" s="11"/>
    </row>
    <row r="33" spans="1:12" ht="12.75">
      <c r="A33" s="9"/>
      <c r="B33" s="5">
        <v>29</v>
      </c>
      <c r="C33" s="16">
        <v>0.10285810185185185</v>
      </c>
      <c r="D33" s="16">
        <v>0.10478611111111112</v>
      </c>
      <c r="E33" s="16">
        <v>0.1066931712962963</v>
      </c>
      <c r="F33" s="4">
        <f t="shared" si="0"/>
        <v>0.00383506944444445</v>
      </c>
      <c r="G33" s="18">
        <f t="shared" si="1"/>
        <v>0.0019280092592592751</v>
      </c>
      <c r="H33" s="5">
        <f>F39/F33</f>
        <v>0.9824185151652315</v>
      </c>
      <c r="I33" s="5"/>
      <c r="L33" s="9"/>
    </row>
    <row r="34" spans="1:12" ht="12.75">
      <c r="A34" s="9"/>
      <c r="B34" s="5">
        <v>30</v>
      </c>
      <c r="C34" s="16">
        <v>0.10317743055555556</v>
      </c>
      <c r="D34" s="16">
        <v>0.10510358796296297</v>
      </c>
      <c r="E34" s="16">
        <v>0.10700868055555555</v>
      </c>
      <c r="F34" s="4">
        <f t="shared" si="0"/>
        <v>0.0038312499999999944</v>
      </c>
      <c r="G34" s="18">
        <f t="shared" si="1"/>
        <v>0.0019261574074074111</v>
      </c>
      <c r="H34" s="5">
        <f>F39/F34</f>
        <v>0.9833979064709093</v>
      </c>
      <c r="I34" s="5"/>
      <c r="L34" s="9"/>
    </row>
    <row r="35" spans="1:12" ht="12.75">
      <c r="A35" s="9"/>
      <c r="B35" s="5">
        <v>31</v>
      </c>
      <c r="C35" s="16">
        <v>0.10358946759259259</v>
      </c>
      <c r="D35" s="4">
        <v>0.10544398148148149</v>
      </c>
      <c r="E35" s="16">
        <v>0.10729733796296297</v>
      </c>
      <c r="F35" s="4">
        <f t="shared" si="0"/>
        <v>0.0037078703703703753</v>
      </c>
      <c r="G35" s="18">
        <f t="shared" si="1"/>
        <v>0.0018545138888888951</v>
      </c>
      <c r="H35" s="5">
        <f>F39/F35</f>
        <v>1.0161205362716927</v>
      </c>
      <c r="I35" s="5"/>
      <c r="L35" s="9"/>
    </row>
    <row r="36" spans="1:12" ht="12.75">
      <c r="A36" s="9"/>
      <c r="B36" s="5">
        <v>32</v>
      </c>
      <c r="C36" s="16">
        <v>0.10398657407407408</v>
      </c>
      <c r="D36" s="16">
        <v>0.10587118055555556</v>
      </c>
      <c r="E36" s="16">
        <v>0.10774189814814815</v>
      </c>
      <c r="F36" s="4">
        <f t="shared" si="0"/>
        <v>0.0037553240740740707</v>
      </c>
      <c r="G36" s="18">
        <f t="shared" si="1"/>
        <v>0.0018846064814814767</v>
      </c>
      <c r="H36" s="5">
        <f>F39/F36</f>
        <v>1.0032804505948352</v>
      </c>
      <c r="I36" s="5"/>
      <c r="L36" s="9"/>
    </row>
    <row r="37" spans="1:12" ht="12.75">
      <c r="A37" s="9"/>
      <c r="B37" s="5"/>
      <c r="C37" s="16"/>
      <c r="D37" s="5"/>
      <c r="E37" s="16"/>
      <c r="F37" s="4"/>
      <c r="G37" s="5"/>
      <c r="H37" s="5"/>
      <c r="I37" s="5"/>
      <c r="J37" s="5"/>
      <c r="K37" s="5"/>
      <c r="L37" s="9"/>
    </row>
    <row r="38" spans="1:12" ht="12.75">
      <c r="A38" s="9"/>
      <c r="B38" s="5"/>
      <c r="C38" s="5"/>
      <c r="D38" s="5" t="s">
        <v>34</v>
      </c>
      <c r="E38" s="5"/>
      <c r="F38" s="4">
        <f>SUM(F5:F20)/16</f>
        <v>0.00397204861111111</v>
      </c>
      <c r="G38" s="5"/>
      <c r="H38" s="5"/>
      <c r="I38" s="5"/>
      <c r="J38" s="5"/>
      <c r="K38" s="5"/>
      <c r="L38" s="9"/>
    </row>
    <row r="39" spans="1:12" ht="12.75">
      <c r="A39" s="9"/>
      <c r="B39" s="5"/>
      <c r="C39" s="5"/>
      <c r="D39" s="5" t="s">
        <v>35</v>
      </c>
      <c r="E39" s="5"/>
      <c r="F39" s="4">
        <f>SUM(F21:F36)/16</f>
        <v>0.003767643229166666</v>
      </c>
      <c r="G39" s="5"/>
      <c r="H39" s="5"/>
      <c r="I39" s="5"/>
      <c r="J39" s="5"/>
      <c r="K39" s="5"/>
      <c r="L39" s="9"/>
    </row>
    <row r="40" spans="1:12" ht="12.75">
      <c r="A40" s="9"/>
      <c r="B40" s="5"/>
      <c r="C40" s="5"/>
      <c r="D40" s="5" t="s">
        <v>36</v>
      </c>
      <c r="E40" s="5"/>
      <c r="F40" s="4">
        <f>SUM(F5:F36)/32</f>
        <v>0.0038698459201388885</v>
      </c>
      <c r="G40" s="5"/>
      <c r="H40" s="5"/>
      <c r="I40" s="5"/>
      <c r="J40" s="5"/>
      <c r="K40" s="5"/>
      <c r="L40" s="9"/>
    </row>
    <row r="41" spans="1:12" ht="12.75" customHeight="1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9"/>
    </row>
    <row r="42" spans="1:12" ht="21" customHeight="1">
      <c r="A42" s="9"/>
      <c r="B42" s="6" t="s">
        <v>45</v>
      </c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 s="2" customFormat="1" ht="12.75" customHeight="1">
      <c r="A43" s="9"/>
      <c r="B43" s="13"/>
      <c r="C43" s="12"/>
      <c r="D43" s="12"/>
      <c r="E43" s="12"/>
      <c r="F43" s="12"/>
      <c r="G43" s="12"/>
      <c r="H43" s="12"/>
      <c r="I43" s="12"/>
      <c r="J43" s="12"/>
      <c r="K43" s="12"/>
      <c r="L43" s="9"/>
    </row>
    <row r="44" spans="1:12" ht="12.75">
      <c r="A44" s="9"/>
      <c r="B44" s="5"/>
      <c r="C44" s="5" t="s">
        <v>40</v>
      </c>
      <c r="D44" s="5"/>
      <c r="E44" s="5"/>
      <c r="F44" s="5" t="s">
        <v>41</v>
      </c>
      <c r="G44" s="5"/>
      <c r="H44" s="5"/>
      <c r="I44" s="5" t="s">
        <v>39</v>
      </c>
      <c r="J44" s="5"/>
      <c r="K44" s="5"/>
      <c r="L44" s="9"/>
    </row>
    <row r="45" spans="1:12" ht="12.75">
      <c r="A45" s="9"/>
      <c r="B45" s="5"/>
      <c r="C45" s="5" t="s">
        <v>43</v>
      </c>
      <c r="D45" s="5"/>
      <c r="E45" s="5"/>
      <c r="F45" s="5" t="s">
        <v>42</v>
      </c>
      <c r="G45" s="5"/>
      <c r="H45" s="5"/>
      <c r="I45" s="5" t="s">
        <v>47</v>
      </c>
      <c r="J45" s="5"/>
      <c r="K45" s="5"/>
      <c r="L45" s="9"/>
    </row>
    <row r="46" spans="1:12" ht="12.75">
      <c r="A46" s="9"/>
      <c r="B46" s="15" t="s">
        <v>6</v>
      </c>
      <c r="C46" s="3" t="s">
        <v>37</v>
      </c>
      <c r="D46" s="3" t="s">
        <v>32</v>
      </c>
      <c r="E46" s="3" t="s">
        <v>31</v>
      </c>
      <c r="F46" s="3" t="s">
        <v>37</v>
      </c>
      <c r="G46" s="3" t="s">
        <v>32</v>
      </c>
      <c r="H46" s="3" t="s">
        <v>31</v>
      </c>
      <c r="I46" s="3" t="s">
        <v>32</v>
      </c>
      <c r="J46" s="3" t="s">
        <v>31</v>
      </c>
      <c r="K46" s="20"/>
      <c r="L46" s="22"/>
    </row>
    <row r="47" spans="1:12" ht="12.75">
      <c r="A47" s="9"/>
      <c r="B47" s="5" t="s">
        <v>7</v>
      </c>
      <c r="C47" s="5" t="s">
        <v>11</v>
      </c>
      <c r="D47" s="19">
        <f>AVERAGE(E47:E50)/E47*100</f>
        <v>99.37885500825298</v>
      </c>
      <c r="E47" s="4">
        <f>SUM(F8+F11+F14+F17)</f>
        <v>0.015987499999999995</v>
      </c>
      <c r="F47" s="12" t="s">
        <v>48</v>
      </c>
      <c r="G47" s="19">
        <f>AVERAGE(H47:H50)/H47*100</f>
        <v>99.97830894209075</v>
      </c>
      <c r="H47" s="4">
        <f>SUM(F21+F25+F30+F34)</f>
        <v>0.015073842592592573</v>
      </c>
      <c r="I47" s="19">
        <f>AVERAGE(J47:J50)/J47*100</f>
        <v>99.66976562208897</v>
      </c>
      <c r="J47" s="4">
        <f>E47+H47</f>
        <v>0.031061342592592567</v>
      </c>
      <c r="K47" s="18"/>
      <c r="L47" s="22"/>
    </row>
    <row r="48" spans="1:12" ht="12.75">
      <c r="A48" s="9"/>
      <c r="B48" s="5" t="s">
        <v>8</v>
      </c>
      <c r="C48" s="5" t="s">
        <v>12</v>
      </c>
      <c r="D48" s="19">
        <f>AVERAGE(E47:E50)/E48*100</f>
        <v>100.0255029546994</v>
      </c>
      <c r="E48" s="4">
        <f>SUM(F6+F9+F16+F19)</f>
        <v>0.015884143518518523</v>
      </c>
      <c r="F48" s="12" t="s">
        <v>49</v>
      </c>
      <c r="G48" s="19">
        <f>AVERAGE(H47:H50)/H48*100</f>
        <v>100.63199425003091</v>
      </c>
      <c r="H48" s="4">
        <f>SUM(F22+F27+F29+F36)</f>
        <v>0.014975925925925924</v>
      </c>
      <c r="I48" s="19">
        <f>AVERAGE(J47:J51)/J48*100</f>
        <v>100.31982402646351</v>
      </c>
      <c r="J48" s="4">
        <f>E48+H48</f>
        <v>0.030860069444444447</v>
      </c>
      <c r="K48" s="18"/>
      <c r="L48" s="22"/>
    </row>
    <row r="49" spans="1:12" ht="12.75">
      <c r="A49" s="9"/>
      <c r="B49" s="5" t="s">
        <v>9</v>
      </c>
      <c r="C49" s="5" t="s">
        <v>13</v>
      </c>
      <c r="D49" s="19">
        <f>AVERAGE(E47:E50)/E49*100</f>
        <v>103.4328425684534</v>
      </c>
      <c r="E49" s="4">
        <f>SUM(F5+F10+F15+F20)</f>
        <v>0.015360879629629627</v>
      </c>
      <c r="F49" s="12" t="s">
        <v>50</v>
      </c>
      <c r="G49" s="19">
        <f>AVERAGE(H47:H50)/H49*100</f>
        <v>101.85129416549982</v>
      </c>
      <c r="H49" s="4">
        <f>SUM(F24+F28+F31+F35)</f>
        <v>0.014796643518518521</v>
      </c>
      <c r="I49" s="19">
        <f>AVERAGE(J47:J52)/J49*100</f>
        <v>102.65686345999592</v>
      </c>
      <c r="J49" s="4">
        <f aca="true" t="shared" si="2" ref="J49:J56">E49+H49</f>
        <v>0.03015752314814815</v>
      </c>
      <c r="K49" s="18"/>
      <c r="L49" s="22"/>
    </row>
    <row r="50" spans="1:12" ht="12.75">
      <c r="A50" s="9"/>
      <c r="B50" s="5" t="s">
        <v>10</v>
      </c>
      <c r="C50" s="5" t="s">
        <v>14</v>
      </c>
      <c r="D50" s="19">
        <f>AVERAGE(E47:E50)/E50*100</f>
        <v>97.35261370002908</v>
      </c>
      <c r="E50" s="4">
        <f>SUM(F7+F12+F13+F18)</f>
        <v>0.016320254629629626</v>
      </c>
      <c r="F50" s="12" t="s">
        <v>51</v>
      </c>
      <c r="G50" s="19">
        <f>AVERAGE(H50:H57)/H50*100</f>
        <v>98.10671385510543</v>
      </c>
      <c r="H50" s="4">
        <f>SUM(F23+F26+F32+F33)</f>
        <v>0.01543587962962964</v>
      </c>
      <c r="I50" s="19">
        <f>AVERAGE(J47:J53)/J50*100</f>
        <v>97.49151702244751</v>
      </c>
      <c r="J50" s="4">
        <f t="shared" si="2"/>
        <v>0.031756134259259265</v>
      </c>
      <c r="K50" s="18"/>
      <c r="L50" s="22"/>
    </row>
    <row r="51" spans="1:12" ht="12.75">
      <c r="A51" s="9"/>
      <c r="B51" s="5"/>
      <c r="C51" s="5"/>
      <c r="D51" s="10"/>
      <c r="E51" s="5"/>
      <c r="F51" s="5"/>
      <c r="G51" s="10"/>
      <c r="I51" s="23"/>
      <c r="J51" s="4"/>
      <c r="K51" s="12"/>
      <c r="L51" s="22"/>
    </row>
    <row r="52" spans="1:12" ht="12.75">
      <c r="A52" s="9"/>
      <c r="B52" s="15" t="s">
        <v>15</v>
      </c>
      <c r="C52" s="3" t="s">
        <v>38</v>
      </c>
      <c r="D52" s="3" t="s">
        <v>32</v>
      </c>
      <c r="E52" s="3" t="s">
        <v>31</v>
      </c>
      <c r="F52" s="3" t="s">
        <v>37</v>
      </c>
      <c r="G52" s="3" t="s">
        <v>32</v>
      </c>
      <c r="H52" s="3" t="s">
        <v>31</v>
      </c>
      <c r="I52" s="3" t="s">
        <v>32</v>
      </c>
      <c r="J52" s="17" t="s">
        <v>31</v>
      </c>
      <c r="K52" s="20"/>
      <c r="L52" s="22"/>
    </row>
    <row r="53" spans="1:12" ht="12.75">
      <c r="A53" s="9"/>
      <c r="B53" s="5" t="s">
        <v>16</v>
      </c>
      <c r="C53" s="5" t="s">
        <v>20</v>
      </c>
      <c r="D53" s="19">
        <f>AVERAGE(E53:E56)/E53*100</f>
        <v>99.83999301787713</v>
      </c>
      <c r="E53" s="4">
        <f>SUM(F7+F10+F16+F17)</f>
        <v>0.015913657407407404</v>
      </c>
      <c r="F53" s="12" t="s">
        <v>55</v>
      </c>
      <c r="G53" s="19">
        <f>AVERAGE(H53:H56)/H53*100</f>
        <v>100.14362843496916</v>
      </c>
      <c r="H53" s="4">
        <f>SUM(F21+F26+F31+F36)</f>
        <v>0.015048958333333338</v>
      </c>
      <c r="I53" s="19">
        <f>AVERAGE(J53:J56)/J53*100</f>
        <v>99.98757088334571</v>
      </c>
      <c r="J53" s="4">
        <f t="shared" si="2"/>
        <v>0.030962615740740742</v>
      </c>
      <c r="K53" s="21"/>
      <c r="L53" s="22"/>
    </row>
    <row r="54" spans="1:12" ht="12.75">
      <c r="A54" s="9"/>
      <c r="B54" s="5" t="s">
        <v>17</v>
      </c>
      <c r="C54" s="5" t="s">
        <v>21</v>
      </c>
      <c r="D54" s="19">
        <f>AVERAGE(E53:E56)/E54*100</f>
        <v>100.31422641840348</v>
      </c>
      <c r="E54" s="4">
        <f>SUM(F5+F12+F14+F19)</f>
        <v>0.015838425925925916</v>
      </c>
      <c r="F54" s="12" t="s">
        <v>52</v>
      </c>
      <c r="G54" s="19">
        <f>AVERAGE(H53:H56)/H54*100</f>
        <v>100.2291936079807</v>
      </c>
      <c r="H54" s="4">
        <f>SUM(F22+F25+F32+F35)</f>
        <v>0.015036111111111122</v>
      </c>
      <c r="I54" s="19">
        <f>AVERAGE(J53:J56)/J54*100</f>
        <v>100.27281485702288</v>
      </c>
      <c r="J54" s="4">
        <f t="shared" si="2"/>
        <v>0.030874537037037037</v>
      </c>
      <c r="K54" s="21"/>
      <c r="L54" s="22"/>
    </row>
    <row r="55" spans="1:12" ht="12.75">
      <c r="A55" s="9"/>
      <c r="B55" s="5" t="s">
        <v>18</v>
      </c>
      <c r="C55" s="5" t="s">
        <v>22</v>
      </c>
      <c r="D55" s="19">
        <f>AVERAGE(E53:E56)/E55*100</f>
        <v>100.15686675081533</v>
      </c>
      <c r="E55" s="4">
        <f>SUM(F8+F9+F13+F20)</f>
        <v>0.015863310185185185</v>
      </c>
      <c r="F55" s="12" t="s">
        <v>53</v>
      </c>
      <c r="G55" s="19">
        <f>AVERAGE(H53:H56)/H55*100</f>
        <v>100.43793677974733</v>
      </c>
      <c r="H55" s="4">
        <f>SUM(F24+F27+F30+F33)</f>
        <v>0.015004861111111104</v>
      </c>
      <c r="I55" s="19">
        <f>AVERAGE(J53:J56)/J55*100</f>
        <v>100.29349346271668</v>
      </c>
      <c r="J55" s="4">
        <f t="shared" si="2"/>
        <v>0.03086817129629629</v>
      </c>
      <c r="K55" s="21"/>
      <c r="L55" s="22"/>
    </row>
    <row r="56" spans="1:12" ht="12.75">
      <c r="A56" s="9"/>
      <c r="B56" s="5" t="s">
        <v>19</v>
      </c>
      <c r="C56" s="5" t="s">
        <v>23</v>
      </c>
      <c r="D56" s="19">
        <f>AVERAGE(E53:E56)/E56*100</f>
        <v>99.69135578326637</v>
      </c>
      <c r="E56" s="4">
        <f>SUM(F6+F11+F15+F18)</f>
        <v>0.01593738425925926</v>
      </c>
      <c r="F56" s="12" t="s">
        <v>54</v>
      </c>
      <c r="G56" s="19">
        <f>AVERAGE(H53:H56)/H56*100</f>
        <v>99.19835900717658</v>
      </c>
      <c r="H56" s="4">
        <f>SUM(F23+F28+F29+F34)</f>
        <v>0.015192361111111094</v>
      </c>
      <c r="I56" s="19">
        <f>AVERAGE(J53:J56)/J56*100</f>
        <v>99.45075680117195</v>
      </c>
      <c r="J56" s="4">
        <f t="shared" si="2"/>
        <v>0.031129745370370353</v>
      </c>
      <c r="K56" s="21"/>
      <c r="L56" s="22"/>
    </row>
    <row r="57" spans="1:12" ht="12.75">
      <c r="A57" s="9"/>
      <c r="B57" s="5"/>
      <c r="C57" s="5"/>
      <c r="D57" s="5"/>
      <c r="E57" s="5"/>
      <c r="F57" s="5"/>
      <c r="G57" s="5"/>
      <c r="H57" s="5"/>
      <c r="I57" s="5"/>
      <c r="J57" s="5"/>
      <c r="K57" s="5"/>
      <c r="L57" s="9"/>
    </row>
    <row r="58" spans="1:12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</sheetData>
  <sheetProtection/>
  <printOptions/>
  <pageMargins left="0.22" right="0.13" top="0.78" bottom="0.5" header="0.76" footer="0.5"/>
  <pageSetup orientation="portrait" paperSize="9" r:id="rId1"/>
  <ignoredErrors>
    <ignoredError sqref="H47 H53:H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Pair-Matrix</dc:title>
  <dc:subject>LM jan 2007</dc:subject>
  <dc:creator>A. Snijders</dc:creator>
  <cp:keywords>tweezonder; LM; 2007; pair; matrix;</cp:keywords>
  <dc:description>Uitgewerkte raceresultaten van de pair-matrix januari 2007 van de lichte heren boordroeiers.</dc:description>
  <cp:lastModifiedBy>Alwin Snijders</cp:lastModifiedBy>
  <cp:lastPrinted>2007-01-21T18:03:28Z</cp:lastPrinted>
  <dcterms:created xsi:type="dcterms:W3CDTF">2007-01-19T16:36:59Z</dcterms:created>
  <dcterms:modified xsi:type="dcterms:W3CDTF">2007-01-31T11:08:35Z</dcterms:modified>
  <cp:category>roeien</cp:category>
  <cp:version/>
  <cp:contentType/>
  <cp:contentStatus/>
</cp:coreProperties>
</file>